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21" windowWidth="19320" windowHeight="11760" tabRatio="851" activeTab="0"/>
  </bookViews>
  <sheets>
    <sheet name="Hypothèses" sheetId="1" r:id="rId1"/>
    <sheet name="Base de données" sheetId="2" r:id="rId2"/>
    <sheet name="Déperditions" sheetId="3" r:id="rId3"/>
    <sheet name="Calculs Consommation" sheetId="4" r:id="rId4"/>
    <sheet name="Résultats" sheetId="5" r:id="rId5"/>
  </sheets>
  <definedNames/>
  <calcPr fullCalcOnLoad="1"/>
</workbook>
</file>

<file path=xl/sharedStrings.xml><?xml version="1.0" encoding="utf-8"?>
<sst xmlns="http://schemas.openxmlformats.org/spreadsheetml/2006/main" count="423" uniqueCount="226">
  <si>
    <t>Porte entrée</t>
  </si>
  <si>
    <t>Porte garage</t>
  </si>
  <si>
    <t>Systèmes</t>
  </si>
  <si>
    <t>Ventilation</t>
  </si>
  <si>
    <t>Double flux</t>
  </si>
  <si>
    <t>Chauffage</t>
  </si>
  <si>
    <t>Chaudière granulés</t>
  </si>
  <si>
    <t>Emission</t>
  </si>
  <si>
    <t>plancher/radiateurs</t>
  </si>
  <si>
    <t>ECS</t>
  </si>
  <si>
    <t>Total (kW)</t>
  </si>
  <si>
    <t>Déperditions innoccupé</t>
  </si>
  <si>
    <t>Coefficient As</t>
  </si>
  <si>
    <t>Facteur d’ombrage</t>
  </si>
  <si>
    <t>Facteur Solaire</t>
  </si>
  <si>
    <t>As (m2)</t>
  </si>
  <si>
    <t>Valeur d'irradation solaire Is (W/m2)</t>
  </si>
  <si>
    <t>Is Nord</t>
  </si>
  <si>
    <t>Is Est</t>
  </si>
  <si>
    <t>Is Sud</t>
  </si>
  <si>
    <t>Is Ouest</t>
  </si>
  <si>
    <t>janvier</t>
  </si>
  <si>
    <t>février</t>
  </si>
  <si>
    <t>mars</t>
  </si>
  <si>
    <t xml:space="preserve">avril </t>
  </si>
  <si>
    <t>gaz solaire</t>
  </si>
  <si>
    <t>ro solaire</t>
  </si>
  <si>
    <t>oo solaire</t>
  </si>
  <si>
    <t>elecrtique</t>
  </si>
  <si>
    <t>elec solaire</t>
  </si>
  <si>
    <t>granul solaire</t>
  </si>
  <si>
    <t>thermo</t>
  </si>
  <si>
    <t>poele et solaire</t>
  </si>
  <si>
    <t>Rendement chauffage</t>
  </si>
  <si>
    <t>rendement ECS hiver</t>
  </si>
  <si>
    <t>rendement ECS été</t>
  </si>
  <si>
    <t>Homatherm HD</t>
  </si>
  <si>
    <t>Ossature</t>
  </si>
  <si>
    <t>Fibre de bois</t>
  </si>
  <si>
    <t>Fibre de bois</t>
  </si>
  <si>
    <t>Homatherm Fibre de bois</t>
  </si>
  <si>
    <t>Ballon solaire</t>
  </si>
  <si>
    <t>Déperditions occupé</t>
  </si>
  <si>
    <t>U (W/m2°C)</t>
  </si>
  <si>
    <t>Qenv (W)</t>
  </si>
  <si>
    <t>Mur extérieur</t>
  </si>
  <si>
    <t>Fenêtres et Porte-fenêtres</t>
  </si>
  <si>
    <t>CVR</t>
  </si>
  <si>
    <t>Portes</t>
  </si>
  <si>
    <t>η systeme</t>
  </si>
  <si>
    <t>Débit (m3/h)</t>
  </si>
  <si>
    <t>Qren air (W)</t>
  </si>
  <si>
    <t>Renouvellement d’air</t>
  </si>
  <si>
    <t>Taux (m3/h.m2)</t>
  </si>
  <si>
    <t>Qetanch (W)</t>
  </si>
  <si>
    <t>Psi (W/m°C)</t>
  </si>
  <si>
    <t>Qpth (W)</t>
  </si>
  <si>
    <t>Ponts thermiques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</si>
  <si>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</si>
  <si>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</si>
  <si>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</si>
  <si>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</si>
  <si>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</si>
  <si>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</si>
  <si>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</si>
  <si>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</si>
  <si>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Apports par le vitrage</t>
  </si>
  <si>
    <t>fevrier</t>
  </si>
  <si>
    <t>avril</t>
  </si>
  <si>
    <t>decembre</t>
  </si>
  <si>
    <t>T eau froide</t>
  </si>
  <si>
    <t xml:space="preserve">mai </t>
  </si>
  <si>
    <t>Besoins Eau Chaude</t>
  </si>
  <si>
    <t>T eau chaude</t>
  </si>
  <si>
    <t>Taux d'utilisation</t>
  </si>
  <si>
    <t>Mois</t>
  </si>
  <si>
    <t>total</t>
  </si>
  <si>
    <t>Températures moyennes</t>
  </si>
  <si>
    <t>Durée hebdomadaire T° chauffe (h)</t>
  </si>
  <si>
    <t>Coef énergie primaire ECS</t>
  </si>
  <si>
    <t>matériaux</t>
  </si>
  <si>
    <t>épaisseur (m)</t>
  </si>
  <si>
    <t>Conductivité thermique λ (W/m°C)</t>
  </si>
  <si>
    <t>Résistance thermique R (m2°C/W)</t>
  </si>
  <si>
    <t>pourcentage</t>
  </si>
  <si>
    <t>placo type BA13</t>
  </si>
  <si>
    <t>Résistances superficielles Ri + Re (m2°C/W)</t>
  </si>
  <si>
    <t>Coefficient b</t>
  </si>
  <si>
    <t>U =</t>
  </si>
  <si>
    <t>Surface =</t>
  </si>
  <si>
    <t>Plancher bas 1</t>
  </si>
  <si>
    <t>Hypothèses</t>
  </si>
  <si>
    <t>Nombre d’occupants</t>
  </si>
  <si>
    <t>Surface Habitable (m2)</t>
  </si>
  <si>
    <t>SHON (m2)</t>
  </si>
  <si>
    <t>Etanchéité à l’air</t>
  </si>
  <si>
    <t>Type de logement</t>
  </si>
  <si>
    <t>Nombre de WC</t>
  </si>
  <si>
    <t>Nombre de salles de bains</t>
  </si>
  <si>
    <t>Température intérieur de chauffe (°C)</t>
  </si>
  <si>
    <t>Température intérieure réduite (°C)</t>
  </si>
  <si>
    <t>Température extérieure de base (°C)</t>
  </si>
  <si>
    <t>Knauf THANE 24</t>
  </si>
  <si>
    <t>Chape</t>
  </si>
  <si>
    <t>coefficient b</t>
  </si>
  <si>
    <t>Ponts thermiques</t>
  </si>
  <si>
    <t>Type</t>
  </si>
  <si>
    <t>Psi (W/m.K)</t>
  </si>
  <si>
    <t>Longueur (m)</t>
  </si>
  <si>
    <t>H (W/m2)</t>
  </si>
  <si>
    <t>Angle sortant</t>
  </si>
  <si>
    <t>Angle rentrant</t>
  </si>
  <si>
    <t>Mur de refend</t>
  </si>
  <si>
    <t>Plancher bas</t>
  </si>
  <si>
    <t>Plancher int</t>
  </si>
  <si>
    <t>Plancher haut</t>
  </si>
  <si>
    <t>appui fenêtre</t>
  </si>
  <si>
    <t>fenêtres et porte-fenêtres</t>
  </si>
  <si>
    <t>Orientation</t>
  </si>
  <si>
    <t>Uw (W/m2.C)</t>
  </si>
  <si>
    <t>Surface (m2)</t>
  </si>
  <si>
    <t>Facteur solaire</t>
  </si>
  <si>
    <t>Nord</t>
  </si>
  <si>
    <t>Est</t>
  </si>
  <si>
    <t>Sud</t>
  </si>
  <si>
    <t>Ouest</t>
  </si>
  <si>
    <t>Fenêtre 01</t>
  </si>
  <si>
    <t>Fenêtre 02</t>
  </si>
  <si>
    <t>Fenêtre 03</t>
  </si>
  <si>
    <t>Fenêtre 04</t>
  </si>
  <si>
    <t>portes</t>
  </si>
  <si>
    <t>Uw</t>
  </si>
  <si>
    <t>surface</t>
  </si>
  <si>
    <t>Durée hebdomadaire T° réduite (h)</t>
  </si>
  <si>
    <t>T° int moy (°C)</t>
  </si>
  <si>
    <t>Bilan consommation</t>
  </si>
  <si>
    <t>T mensuelle (°C)</t>
  </si>
  <si>
    <t>Ich</t>
  </si>
  <si>
    <t>Besoins Chauffage (kWh)</t>
  </si>
  <si>
    <t>Auxiliaires chauffage</t>
  </si>
  <si>
    <t>Eclairage</t>
  </si>
  <si>
    <t>Puissance moyenne</t>
  </si>
  <si>
    <t>Pmoyenne</t>
  </si>
  <si>
    <t>régulation hydraulique</t>
  </si>
  <si>
    <t>régulation poêle</t>
  </si>
  <si>
    <t>Auxiliaires</t>
  </si>
  <si>
    <t>Auxiliaires ecs</t>
  </si>
  <si>
    <t>Apports        Internes          (kWh)</t>
  </si>
  <si>
    <t>Apports Solaires  (kWh)</t>
  </si>
  <si>
    <t>Apports Totaux   (kWh)</t>
  </si>
  <si>
    <t>Consommation Chauffage  (kWh)</t>
  </si>
  <si>
    <t>Besoins ECS            (kWh)</t>
  </si>
  <si>
    <t>Production Solaire    (kWh)</t>
  </si>
  <si>
    <t>Consommation     ECS (kWh)</t>
  </si>
  <si>
    <t>Consommation totale         (kWh)</t>
  </si>
  <si>
    <t>Consommations RT</t>
  </si>
  <si>
    <t>kWH</t>
  </si>
  <si>
    <t>Kwhep</t>
  </si>
  <si>
    <t>kWhep/m2.an</t>
  </si>
  <si>
    <t>Auxiliaires ventilation</t>
  </si>
  <si>
    <t>entrevous béton</t>
  </si>
  <si>
    <t>Consos auxiliaires chauffage regle de 3</t>
  </si>
  <si>
    <t xml:space="preserve">poele </t>
  </si>
  <si>
    <t>Conso auxiliaires ventilation</t>
  </si>
  <si>
    <t>Simple flux</t>
  </si>
  <si>
    <t>puissance ventilateur débit mini</t>
  </si>
  <si>
    <t>puissance ventilateur débit maxi</t>
  </si>
  <si>
    <t>Apports internes</t>
  </si>
  <si>
    <t>W/personnes</t>
  </si>
  <si>
    <t>Total</t>
  </si>
  <si>
    <t>apports (W)</t>
  </si>
  <si>
    <t>Arrêté 1982 (débits m3/h)</t>
  </si>
  <si>
    <t>Nb pièces</t>
  </si>
  <si>
    <t>Cuisine mini</t>
  </si>
  <si>
    <t>Cuisine maxi</t>
  </si>
  <si>
    <t>SdB</t>
  </si>
  <si>
    <t>Sdb sup.</t>
  </si>
  <si>
    <t>WC unique</t>
  </si>
  <si>
    <t>Plusieurs WC</t>
  </si>
  <si>
    <t>TOTAL</t>
  </si>
  <si>
    <t>&gt;7</t>
  </si>
  <si>
    <t>Débits mini</t>
  </si>
  <si>
    <t>Débits maxi</t>
  </si>
  <si>
    <t>rendement distribution</t>
  </si>
  <si>
    <t>gaines isolées</t>
  </si>
  <si>
    <t>direct</t>
  </si>
  <si>
    <t>rendement régulation</t>
  </si>
  <si>
    <t>Coef énergie primaire chauffage</t>
  </si>
  <si>
    <t>gaz</t>
  </si>
  <si>
    <t>PAC air/eau</t>
  </si>
  <si>
    <t>PAC eau/eau</t>
  </si>
  <si>
    <t>granulés</t>
  </si>
  <si>
    <t>Poele bois</t>
  </si>
  <si>
    <t>Poele granulés</t>
  </si>
  <si>
    <t>electrique</t>
  </si>
  <si>
    <t>Besoins (kWh)</t>
  </si>
  <si>
    <t>Apports internes et solaires</t>
  </si>
  <si>
    <t>ECS  (kWh)</t>
  </si>
  <si>
    <t>production solaire  (kWh)</t>
  </si>
  <si>
    <t>Janvier</t>
  </si>
  <si>
    <t>Février</t>
  </si>
  <si>
    <t xml:space="preserve">Mars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</si>
  <si>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</si>
  <si>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</si>
  <si>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</si>
  <si>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</si>
  <si>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</si>
  <si>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</si>
  <si>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</si>
  <si>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</si>
  <si>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</si>
  <si>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DJU</t>
  </si>
  <si>
    <t>Menuiseries Nord</t>
  </si>
  <si>
    <t>Menuiseries Est</t>
  </si>
  <si>
    <t>Menuiseries Sud</t>
  </si>
  <si>
    <t>Menuiseries Ouest</t>
  </si>
  <si>
    <t>Uw</t>
  </si>
  <si>
    <t>Surface</t>
  </si>
  <si>
    <t>Etanchéité à l’air (m3/h.m2)</t>
  </si>
  <si>
    <t>Chaudière gaz condensation</t>
  </si>
  <si>
    <t>nb jour</t>
  </si>
  <si>
    <t>Plancher haut 1 ou combles</t>
  </si>
  <si>
    <t xml:space="preserve">scénario de vie du bâtiment </t>
  </si>
  <si>
    <t>Menuiseries extérieures</t>
  </si>
  <si>
    <r>
      <t>Résistance thermique R (m</t>
    </r>
    <r>
      <rPr>
        <b/>
        <vertAlign val="superscript"/>
        <sz val="10"/>
        <color indexed="10"/>
        <rFont val="Helvetica Neue"/>
        <family val="0"/>
      </rPr>
      <t>2</t>
    </r>
    <r>
      <rPr>
        <b/>
        <sz val="10"/>
        <color indexed="10"/>
        <rFont val="Helvetica Neue"/>
        <family val="0"/>
      </rPr>
      <t>.K/W)</t>
    </r>
  </si>
  <si>
    <t>Conductivité thermique λ (W/m.K)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</si>
</sst>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  <numFmt numFmtId="173" formatCode="#,##0%"/>
    <numFmt numFmtId="174" formatCode="#,###.###&quot; W/m2°C&quot;"/>
    <numFmt numFmtId="175" formatCode="#,###.##&quot; m2&quot;"/>
    <numFmt numFmtId="176" formatCode="#,##0.00%"/>
    <numFmt numFmtId="177" formatCode="#,###.##&quot; °C&quot;"/>
    <numFmt numFmtId="178" formatCode="#,###.#&quot; kWh&quot;"/>
    <numFmt numFmtId="179" formatCode="#,###.##&quot; kWh&quot;"/>
    <numFmt numFmtId="180" formatCode="#,##0.0"/>
    <numFmt numFmtId="181" formatCode="0.0"/>
    <numFmt numFmtId="182" formatCode="0.00000"/>
    <numFmt numFmtId="183" formatCode="#,##0.0%"/>
    <numFmt numFmtId="184" formatCode="#,###&quot; W&quot;"/>
    <numFmt numFmtId="185" formatCode="#,###,###.##&quot; kWh&quot;"/>
    <numFmt numFmtId="186" formatCode="#,###.##&quot; kWhep/m2.an)&quot;"/>
    <numFmt numFmtId="187" formatCode="[$€-2]\ #,##0.00"/>
    <numFmt numFmtId="188" formatCode="#,#0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58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Arial"/>
      <family val="0"/>
    </font>
    <font>
      <b/>
      <sz val="12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Helvetica Neue"/>
      <family val="0"/>
    </font>
    <font>
      <b/>
      <sz val="10"/>
      <color indexed="10"/>
      <name val="Arial"/>
      <family val="0"/>
    </font>
    <font>
      <sz val="12"/>
      <color indexed="10"/>
      <name val="Comic Sans MS"/>
      <family val="0"/>
    </font>
    <font>
      <sz val="14"/>
      <color indexed="10"/>
      <name val="Comic Sans MS"/>
      <family val="0"/>
    </font>
    <font>
      <b/>
      <sz val="14"/>
      <color indexed="10"/>
      <name val="Comic Sans MS"/>
      <family val="0"/>
    </font>
    <font>
      <b/>
      <sz val="12"/>
      <color indexed="10"/>
      <name val="Arial"/>
      <family val="0"/>
    </font>
    <font>
      <b/>
      <sz val="9"/>
      <color indexed="13"/>
      <name val="Helvetica Neue"/>
      <family val="0"/>
    </font>
    <font>
      <sz val="8"/>
      <color indexed="10"/>
      <name val="Helvetica Neue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b/>
      <sz val="10"/>
      <color indexed="8"/>
      <name val="Helvetica Neue"/>
      <family val="0"/>
    </font>
    <font>
      <b/>
      <vertAlign val="superscript"/>
      <sz val="10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2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1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7"/>
      <name val="Calibri"/>
      <family val="2"/>
    </font>
    <font>
      <i/>
      <sz val="11"/>
      <color indexed="2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56"/>
      <name val="Arial"/>
      <family val="2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2060"/>
      <name val="Arial"/>
      <family val="2"/>
    </font>
    <font>
      <sz val="12"/>
      <color rgb="FF00206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14"/>
      </bottom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left" vertical="top" wrapText="1"/>
    </xf>
    <xf numFmtId="0" fontId="4" fillId="35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5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 vertical="top" wrapText="1"/>
    </xf>
    <xf numFmtId="0" fontId="7" fillId="36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/>
    </xf>
    <xf numFmtId="0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5" borderId="0" xfId="0" applyNumberFormat="1" applyFont="1" applyFill="1" applyBorder="1" applyAlignment="1">
      <alignment horizontal="center"/>
    </xf>
    <xf numFmtId="172" fontId="4" fillId="35" borderId="0" xfId="0" applyNumberFormat="1" applyFont="1" applyFill="1" applyBorder="1" applyAlignment="1">
      <alignment horizontal="center"/>
    </xf>
    <xf numFmtId="173" fontId="4" fillId="35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right"/>
    </xf>
    <xf numFmtId="174" fontId="8" fillId="33" borderId="0" xfId="0" applyNumberFormat="1" applyFont="1" applyFill="1" applyBorder="1" applyAlignment="1">
      <alignment horizontal="center"/>
    </xf>
    <xf numFmtId="0" fontId="8" fillId="37" borderId="0" xfId="0" applyNumberFormat="1" applyFont="1" applyFill="1" applyBorder="1" applyAlignment="1">
      <alignment horizontal="right"/>
    </xf>
    <xf numFmtId="175" fontId="8" fillId="37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72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77" fontId="7" fillId="35" borderId="10" xfId="0" applyNumberFormat="1" applyFont="1" applyFill="1" applyBorder="1" applyAlignment="1">
      <alignment horizontal="center" vertical="top" wrapText="1"/>
    </xf>
    <xf numFmtId="177" fontId="4" fillId="35" borderId="10" xfId="0" applyNumberFormat="1" applyFont="1" applyFill="1" applyBorder="1" applyAlignment="1">
      <alignment horizontal="center"/>
    </xf>
    <xf numFmtId="178" fontId="4" fillId="35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 vertical="top" wrapText="1"/>
    </xf>
    <xf numFmtId="173" fontId="4" fillId="35" borderId="10" xfId="0" applyNumberFormat="1" applyFont="1" applyFill="1" applyBorder="1" applyAlignment="1">
      <alignment horizontal="center"/>
    </xf>
    <xf numFmtId="0" fontId="10" fillId="35" borderId="12" xfId="0" applyNumberFormat="1" applyFont="1" applyFill="1" applyBorder="1" applyAlignment="1">
      <alignment horizontal="center"/>
    </xf>
    <xf numFmtId="0" fontId="11" fillId="35" borderId="13" xfId="0" applyNumberFormat="1" applyFont="1" applyFill="1" applyBorder="1" applyAlignment="1">
      <alignment horizontal="center"/>
    </xf>
    <xf numFmtId="0" fontId="9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 horizontal="left"/>
    </xf>
    <xf numFmtId="3" fontId="9" fillId="35" borderId="13" xfId="0" applyNumberFormat="1" applyFont="1" applyFill="1" applyBorder="1" applyAlignment="1">
      <alignment horizontal="center"/>
    </xf>
    <xf numFmtId="0" fontId="9" fillId="35" borderId="15" xfId="0" applyNumberFormat="1" applyFont="1" applyFill="1" applyBorder="1" applyAlignment="1">
      <alignment/>
    </xf>
    <xf numFmtId="1" fontId="9" fillId="35" borderId="13" xfId="0" applyNumberFormat="1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 vertical="center"/>
    </xf>
    <xf numFmtId="181" fontId="4" fillId="35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 vertical="top" wrapText="1"/>
    </xf>
    <xf numFmtId="172" fontId="4" fillId="35" borderId="10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right" vertical="top" wrapText="1"/>
    </xf>
    <xf numFmtId="0" fontId="12" fillId="37" borderId="10" xfId="0" applyNumberFormat="1" applyFont="1" applyFill="1" applyBorder="1" applyAlignment="1">
      <alignment horizontal="right" vertical="center"/>
    </xf>
    <xf numFmtId="178" fontId="8" fillId="37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/>
    </xf>
    <xf numFmtId="0" fontId="13" fillId="38" borderId="10" xfId="0" applyNumberFormat="1" applyFont="1" applyFill="1" applyBorder="1" applyAlignment="1">
      <alignment horizontal="center" vertical="center" wrapText="1"/>
    </xf>
    <xf numFmtId="0" fontId="13" fillId="38" borderId="10" xfId="0" applyNumberFormat="1" applyFont="1" applyFill="1" applyBorder="1" applyAlignment="1">
      <alignment horizontal="left" vertical="center" wrapText="1"/>
    </xf>
    <xf numFmtId="181" fontId="14" fillId="35" borderId="10" xfId="0" applyNumberFormat="1" applyFont="1" applyFill="1" applyBorder="1" applyAlignment="1">
      <alignment horizontal="center" vertical="center"/>
    </xf>
    <xf numFmtId="180" fontId="14" fillId="35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/>
    </xf>
    <xf numFmtId="0" fontId="9" fillId="35" borderId="17" xfId="0" applyNumberFormat="1" applyFont="1" applyFill="1" applyBorder="1" applyAlignment="1">
      <alignment horizontal="left"/>
    </xf>
    <xf numFmtId="0" fontId="9" fillId="35" borderId="17" xfId="0" applyNumberFormat="1" applyFont="1" applyFill="1" applyBorder="1" applyAlignment="1">
      <alignment/>
    </xf>
    <xf numFmtId="172" fontId="4" fillId="17" borderId="0" xfId="0" applyNumberFormat="1" applyFont="1" applyFill="1" applyBorder="1" applyAlignment="1">
      <alignment horizontal="center"/>
    </xf>
    <xf numFmtId="175" fontId="4" fillId="14" borderId="10" xfId="0" applyNumberFormat="1" applyFont="1" applyFill="1" applyBorder="1" applyAlignment="1">
      <alignment horizontal="center" vertical="center"/>
    </xf>
    <xf numFmtId="0" fontId="4" fillId="39" borderId="10" xfId="0" applyNumberFormat="1" applyFont="1" applyFill="1" applyBorder="1" applyAlignment="1">
      <alignment horizontal="center" vertical="center" wrapText="1"/>
    </xf>
    <xf numFmtId="0" fontId="56" fillId="40" borderId="0" xfId="0" applyFont="1" applyFill="1" applyAlignment="1">
      <alignment horizontal="center" vertical="center"/>
    </xf>
    <xf numFmtId="0" fontId="56" fillId="41" borderId="0" xfId="0" applyFont="1" applyFill="1" applyAlignment="1">
      <alignment horizontal="center" vertical="center"/>
    </xf>
    <xf numFmtId="0" fontId="57" fillId="42" borderId="0" xfId="0" applyFont="1" applyFill="1" applyAlignment="1">
      <alignment horizontal="center" vertical="center"/>
    </xf>
    <xf numFmtId="0" fontId="4" fillId="42" borderId="0" xfId="0" applyNumberFormat="1" applyFont="1" applyFill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6" fillId="35" borderId="1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Alignment="1">
      <alignment horizontal="center"/>
    </xf>
    <xf numFmtId="0" fontId="4" fillId="35" borderId="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FFFFFF"/>
      <rgbColor rgb="00C0C0C0"/>
      <rgbColor rgb="0066B132"/>
      <rgbColor rgb="00FF2712"/>
      <rgbColor rgb="003B3C3A"/>
      <rgbColor rgb="00E5E5E5"/>
      <rgbColor rgb="00CDCDCD"/>
      <rgbColor rgb="0080FF00"/>
      <rgbColor rgb="00FF0000"/>
      <rgbColor rgb="00D90B00"/>
      <rgbColor rgb="00B8C828"/>
      <rgbColor rgb="00EDEDED"/>
      <rgbColor rgb="00CCCCCC"/>
      <rgbColor rgb="00808080"/>
      <rgbColor rgb="00000080"/>
      <rgbColor rgb="00FF00FF"/>
      <rgbColor rgb="00FFFF00"/>
      <rgbColor rgb="0000FFFF"/>
      <rgbColor rgb="00800080"/>
      <rgbColor rgb="00800000"/>
      <rgbColor rgb="00660066"/>
      <rgbColor rgb="00FF8080"/>
      <rgbColor rgb="009999FF"/>
      <rgbColor rgb="00993366"/>
      <rgbColor rgb="00FFFFCC"/>
      <rgbColor rgb="00CCFFFF"/>
      <rgbColor rgb="003F77BE"/>
      <rgbColor rgb="007CC861"/>
      <rgbColor rgb="00FFB143"/>
      <rgbColor rgb="00EF383C"/>
      <rgbColor rgb="009D56AB"/>
      <rgbColor rgb="00AEB2B1"/>
      <rgbColor rgb="00D8DC27"/>
      <rgbColor rgb="0035343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zoomScalePageLayoutView="0" workbookViewId="0" topLeftCell="A10">
      <selection activeCell="C16" sqref="C16"/>
    </sheetView>
  </sheetViews>
  <sheetFormatPr defaultColWidth="10.296875" defaultRowHeight="19.5" customHeight="1"/>
  <cols>
    <col min="1" max="1" width="28.09765625" style="1" customWidth="1"/>
    <col min="2" max="2" width="15.8984375" style="1" customWidth="1"/>
    <col min="3" max="3" width="10.19921875" style="1" customWidth="1"/>
    <col min="4" max="4" width="13.5" style="1" customWidth="1"/>
    <col min="5" max="5" width="26.09765625" style="1" customWidth="1"/>
    <col min="6" max="16384" width="10.19921875" style="1" customWidth="1"/>
  </cols>
  <sheetData>
    <row r="1" spans="1:5" ht="15.75">
      <c r="A1" s="86" t="s">
        <v>91</v>
      </c>
      <c r="B1" s="87"/>
      <c r="D1" s="86" t="s">
        <v>2</v>
      </c>
      <c r="E1" s="87"/>
    </row>
    <row r="2" spans="1:5" ht="15" customHeight="1">
      <c r="A2" s="88" t="s">
        <v>222</v>
      </c>
      <c r="B2" s="88"/>
      <c r="D2" s="9"/>
      <c r="E2" s="10"/>
    </row>
    <row r="3" spans="1:5" ht="15" customHeight="1">
      <c r="A3" s="2" t="s">
        <v>92</v>
      </c>
      <c r="B3" s="3"/>
      <c r="D3" s="11" t="s">
        <v>3</v>
      </c>
      <c r="E3" s="81" t="s">
        <v>4</v>
      </c>
    </row>
    <row r="4" spans="1:5" ht="15" customHeight="1">
      <c r="A4" s="2" t="s">
        <v>93</v>
      </c>
      <c r="B4" s="4"/>
      <c r="D4" s="11" t="s">
        <v>5</v>
      </c>
      <c r="E4" s="81" t="s">
        <v>219</v>
      </c>
    </row>
    <row r="5" spans="1:5" ht="15" customHeight="1">
      <c r="A5" s="2" t="s">
        <v>94</v>
      </c>
      <c r="B5" s="4"/>
      <c r="D5" s="11" t="s">
        <v>7</v>
      </c>
      <c r="E5" s="81" t="s">
        <v>8</v>
      </c>
    </row>
    <row r="6" spans="1:5" ht="15" customHeight="1">
      <c r="A6" s="2" t="s">
        <v>218</v>
      </c>
      <c r="B6" s="4"/>
      <c r="D6" s="11"/>
      <c r="E6" s="81"/>
    </row>
    <row r="7" spans="1:5" ht="15" customHeight="1">
      <c r="A7" s="2" t="s">
        <v>96</v>
      </c>
      <c r="B7" s="4"/>
      <c r="D7" s="11" t="s">
        <v>9</v>
      </c>
      <c r="E7" s="81" t="s">
        <v>41</v>
      </c>
    </row>
    <row r="8" spans="1:2" ht="15" customHeight="1">
      <c r="A8" s="2" t="s">
        <v>97</v>
      </c>
      <c r="B8" s="3"/>
    </row>
    <row r="9" spans="1:2" ht="15" customHeight="1">
      <c r="A9" s="2" t="s">
        <v>98</v>
      </c>
      <c r="B9" s="3"/>
    </row>
    <row r="10" spans="1:2" ht="15" customHeight="1">
      <c r="A10" s="5"/>
      <c r="B10" s="6"/>
    </row>
    <row r="11" spans="1:2" ht="29.25" customHeight="1">
      <c r="A11" s="2" t="s">
        <v>99</v>
      </c>
      <c r="B11" s="3"/>
    </row>
    <row r="12" spans="1:2" ht="15" customHeight="1">
      <c r="A12" s="2" t="s">
        <v>100</v>
      </c>
      <c r="B12" s="3"/>
    </row>
    <row r="13" spans="1:2" ht="29.25" customHeight="1">
      <c r="A13" s="2" t="s">
        <v>101</v>
      </c>
      <c r="B13" s="3">
        <v>-15</v>
      </c>
    </row>
    <row r="15" spans="1:5" ht="19.5" customHeight="1">
      <c r="A15" s="86" t="s">
        <v>45</v>
      </c>
      <c r="B15" s="87"/>
      <c r="C15" s="87"/>
      <c r="D15" s="87"/>
      <c r="E15" s="87"/>
    </row>
    <row r="16" spans="1:5" ht="42.75" customHeight="1">
      <c r="A16" s="28" t="s">
        <v>80</v>
      </c>
      <c r="B16" s="28" t="s">
        <v>81</v>
      </c>
      <c r="C16" s="28" t="s">
        <v>225</v>
      </c>
      <c r="D16" s="28" t="s">
        <v>224</v>
      </c>
      <c r="E16" s="28" t="s">
        <v>84</v>
      </c>
    </row>
    <row r="17" spans="1:5" ht="19.5" customHeight="1">
      <c r="A17" s="29" t="s">
        <v>36</v>
      </c>
      <c r="B17" s="29">
        <v>0.04</v>
      </c>
      <c r="C17" s="29">
        <v>0.038</v>
      </c>
      <c r="D17" s="79"/>
      <c r="E17" s="31">
        <v>1</v>
      </c>
    </row>
    <row r="18" spans="1:5" ht="19.5" customHeight="1">
      <c r="A18" s="29" t="s">
        <v>37</v>
      </c>
      <c r="B18" s="29">
        <v>0.1</v>
      </c>
      <c r="C18" s="29">
        <v>0.23</v>
      </c>
      <c r="D18" s="79"/>
      <c r="E18" s="31">
        <v>0.09</v>
      </c>
    </row>
    <row r="19" spans="1:5" ht="19.5" customHeight="1">
      <c r="A19" s="29" t="s">
        <v>38</v>
      </c>
      <c r="B19" s="29">
        <v>0.1</v>
      </c>
      <c r="C19" s="29">
        <v>0.038</v>
      </c>
      <c r="D19" s="79"/>
      <c r="E19" s="31">
        <v>0.91</v>
      </c>
    </row>
    <row r="20" spans="1:5" ht="19.5" customHeight="1">
      <c r="A20" s="29" t="s">
        <v>39</v>
      </c>
      <c r="B20" s="29">
        <v>0.04</v>
      </c>
      <c r="C20" s="29">
        <v>0.038</v>
      </c>
      <c r="D20" s="79"/>
      <c r="E20" s="31">
        <v>1</v>
      </c>
    </row>
    <row r="21" spans="1:5" ht="19.5" customHeight="1">
      <c r="A21" s="29" t="s">
        <v>85</v>
      </c>
      <c r="B21" s="29">
        <v>0.013</v>
      </c>
      <c r="C21" s="29">
        <v>0.25</v>
      </c>
      <c r="D21" s="79"/>
      <c r="E21" s="31">
        <v>1</v>
      </c>
    </row>
    <row r="22" spans="1:5" ht="19.5" customHeight="1">
      <c r="A22" s="29"/>
      <c r="B22" s="29"/>
      <c r="C22" s="29"/>
      <c r="D22" s="29"/>
      <c r="E22" s="29"/>
    </row>
    <row r="23" spans="1:5" ht="19.5" customHeight="1">
      <c r="A23" s="90" t="s">
        <v>86</v>
      </c>
      <c r="B23" s="90"/>
      <c r="C23" s="29">
        <v>0.17</v>
      </c>
      <c r="D23" s="29"/>
      <c r="E23" s="29"/>
    </row>
    <row r="24" spans="1:5" ht="19.5" customHeight="1">
      <c r="A24" s="29"/>
      <c r="B24" s="29" t="s">
        <v>87</v>
      </c>
      <c r="C24" s="29">
        <v>1</v>
      </c>
      <c r="D24" s="29"/>
      <c r="E24" s="29"/>
    </row>
    <row r="25" spans="1:5" ht="19.5" customHeight="1">
      <c r="A25" s="29"/>
      <c r="B25" s="29"/>
      <c r="C25" s="32" t="s">
        <v>88</v>
      </c>
      <c r="D25" s="33">
        <f>(1/(SUMPRODUCT(D17:D22,E17:E22)+C23))*C24</f>
        <v>5.88235294117647</v>
      </c>
      <c r="E25" s="33"/>
    </row>
    <row r="26" spans="1:5" ht="19.5" customHeight="1">
      <c r="A26" s="29"/>
      <c r="B26" s="29"/>
      <c r="C26" s="34" t="s">
        <v>89</v>
      </c>
      <c r="D26" s="80">
        <v>168.97</v>
      </c>
      <c r="E26" s="35"/>
    </row>
    <row r="29" spans="1:5" ht="19.5" customHeight="1">
      <c r="A29" s="86" t="s">
        <v>90</v>
      </c>
      <c r="B29" s="87"/>
      <c r="C29" s="87"/>
      <c r="D29" s="87"/>
      <c r="E29" s="87"/>
    </row>
    <row r="30" spans="1:5" ht="49.5" customHeight="1">
      <c r="A30" s="28" t="s">
        <v>80</v>
      </c>
      <c r="B30" s="28" t="s">
        <v>81</v>
      </c>
      <c r="C30" s="28" t="s">
        <v>82</v>
      </c>
      <c r="D30" s="28" t="s">
        <v>83</v>
      </c>
      <c r="E30" s="28" t="s">
        <v>84</v>
      </c>
    </row>
    <row r="31" spans="1:5" ht="19.5" customHeight="1">
      <c r="A31" s="29" t="s">
        <v>160</v>
      </c>
      <c r="B31" s="29">
        <v>0.2</v>
      </c>
      <c r="C31" s="29"/>
      <c r="D31" s="30">
        <v>0.15</v>
      </c>
      <c r="E31" s="31">
        <v>1</v>
      </c>
    </row>
    <row r="32" spans="1:5" ht="19.5" customHeight="1">
      <c r="A32" s="29" t="s">
        <v>102</v>
      </c>
      <c r="B32" s="29">
        <v>0.08</v>
      </c>
      <c r="C32" s="29">
        <v>0.024</v>
      </c>
      <c r="D32" s="30">
        <f>E32*B32/C32</f>
        <v>3.3333333333333335</v>
      </c>
      <c r="E32" s="31">
        <v>1</v>
      </c>
    </row>
    <row r="33" spans="1:5" ht="19.5" customHeight="1">
      <c r="A33" s="29" t="s">
        <v>103</v>
      </c>
      <c r="B33" s="29">
        <v>0.05</v>
      </c>
      <c r="C33" s="29">
        <v>1.4</v>
      </c>
      <c r="D33" s="30">
        <f>E33*B33/C33</f>
        <v>0.03571428571428572</v>
      </c>
      <c r="E33" s="31">
        <v>1</v>
      </c>
    </row>
    <row r="34" spans="1:5" ht="19.5" customHeight="1">
      <c r="A34" s="29"/>
      <c r="B34" s="29"/>
      <c r="C34" s="29"/>
      <c r="D34" s="30"/>
      <c r="E34" s="31"/>
    </row>
    <row r="35" spans="1:5" ht="19.5" customHeight="1">
      <c r="A35" s="29"/>
      <c r="B35" s="29"/>
      <c r="C35" s="29"/>
      <c r="D35" s="30"/>
      <c r="E35" s="31"/>
    </row>
    <row r="36" spans="1:5" ht="19.5" customHeight="1">
      <c r="A36" s="29"/>
      <c r="B36" s="29"/>
      <c r="C36" s="29"/>
      <c r="D36" s="29"/>
      <c r="E36" s="31"/>
    </row>
    <row r="37" spans="1:5" ht="19.5" customHeight="1">
      <c r="A37" s="90" t="s">
        <v>86</v>
      </c>
      <c r="B37" s="90"/>
      <c r="C37" s="29">
        <v>0.21</v>
      </c>
      <c r="D37" s="29"/>
      <c r="E37" s="29"/>
    </row>
    <row r="38" spans="1:5" ht="19.5" customHeight="1">
      <c r="A38" s="90" t="s">
        <v>87</v>
      </c>
      <c r="B38" s="90"/>
      <c r="C38" s="29">
        <v>0.8</v>
      </c>
      <c r="D38" s="29"/>
      <c r="E38" s="29"/>
    </row>
    <row r="39" spans="1:5" ht="19.5" customHeight="1">
      <c r="A39" s="29"/>
      <c r="B39" s="29"/>
      <c r="C39" s="32" t="s">
        <v>88</v>
      </c>
      <c r="D39" s="33">
        <f>(1/(SUMPRODUCT(D31:D36,E31:E36)+C37))*C38</f>
        <v>0.2145319882518197</v>
      </c>
      <c r="E39" s="33"/>
    </row>
    <row r="40" spans="1:5" ht="19.5" customHeight="1">
      <c r="A40" s="29"/>
      <c r="B40" s="29"/>
      <c r="C40" s="32" t="s">
        <v>89</v>
      </c>
      <c r="D40" s="80">
        <v>89.75</v>
      </c>
      <c r="E40" s="36"/>
    </row>
    <row r="43" spans="1:5" ht="19.5" customHeight="1">
      <c r="A43" s="86" t="s">
        <v>221</v>
      </c>
      <c r="B43" s="87"/>
      <c r="C43" s="87"/>
      <c r="D43" s="87"/>
      <c r="E43" s="87"/>
    </row>
    <row r="44" spans="1:5" ht="48" customHeight="1">
      <c r="A44" s="28" t="s">
        <v>80</v>
      </c>
      <c r="B44" s="28" t="s">
        <v>81</v>
      </c>
      <c r="C44" s="28" t="s">
        <v>82</v>
      </c>
      <c r="D44" s="28" t="s">
        <v>83</v>
      </c>
      <c r="E44" s="28" t="s">
        <v>84</v>
      </c>
    </row>
    <row r="45" spans="1:5" ht="19.5" customHeight="1">
      <c r="A45" s="29" t="s">
        <v>40</v>
      </c>
      <c r="B45" s="29">
        <v>0.5</v>
      </c>
      <c r="C45" s="29">
        <v>0.038</v>
      </c>
      <c r="D45" s="30">
        <f>B45/C45</f>
        <v>13.157894736842106</v>
      </c>
      <c r="E45" s="31">
        <v>1</v>
      </c>
    </row>
    <row r="46" spans="1:5" ht="19.5" customHeight="1">
      <c r="A46" s="29" t="s">
        <v>85</v>
      </c>
      <c r="B46" s="29">
        <v>0.013</v>
      </c>
      <c r="C46" s="29">
        <v>0.25</v>
      </c>
      <c r="D46" s="30">
        <f>E46*B46/C46</f>
        <v>0.052</v>
      </c>
      <c r="E46" s="31">
        <v>1</v>
      </c>
    </row>
    <row r="47" spans="1:5" ht="19.5" customHeight="1">
      <c r="A47" s="29"/>
      <c r="B47" s="29"/>
      <c r="C47" s="29"/>
      <c r="D47" s="30"/>
      <c r="E47" s="31"/>
    </row>
    <row r="48" spans="1:5" ht="19.5" customHeight="1">
      <c r="A48" s="29"/>
      <c r="B48" s="29"/>
      <c r="C48" s="29"/>
      <c r="D48" s="30"/>
      <c r="E48" s="31"/>
    </row>
    <row r="49" spans="1:5" ht="19.5" customHeight="1">
      <c r="A49" s="29"/>
      <c r="B49" s="29"/>
      <c r="C49" s="29"/>
      <c r="D49" s="30"/>
      <c r="E49" s="31"/>
    </row>
    <row r="50" spans="1:5" ht="19.5" customHeight="1">
      <c r="A50" s="29"/>
      <c r="B50" s="29"/>
      <c r="C50" s="29"/>
      <c r="D50" s="29"/>
      <c r="E50" s="31"/>
    </row>
    <row r="51" spans="1:5" ht="19.5" customHeight="1">
      <c r="A51" s="90" t="s">
        <v>86</v>
      </c>
      <c r="B51" s="90"/>
      <c r="C51" s="29">
        <v>0.14</v>
      </c>
      <c r="D51" s="29"/>
      <c r="E51" s="29"/>
    </row>
    <row r="52" spans="1:5" ht="19.5" customHeight="1">
      <c r="A52" s="29"/>
      <c r="B52" s="29" t="s">
        <v>104</v>
      </c>
      <c r="C52" s="29">
        <v>1</v>
      </c>
      <c r="D52" s="29"/>
      <c r="E52" s="29"/>
    </row>
    <row r="53" spans="1:5" ht="19.5" customHeight="1">
      <c r="A53" s="29"/>
      <c r="B53" s="29"/>
      <c r="C53" s="32" t="s">
        <v>88</v>
      </c>
      <c r="D53" s="33">
        <f>(1/(SUMPRODUCT(D45:D50,E45:E50)+C51))*C52</f>
        <v>0.07490695767362644</v>
      </c>
      <c r="E53" s="33"/>
    </row>
    <row r="54" spans="1:5" ht="19.5" customHeight="1">
      <c r="A54" s="29"/>
      <c r="B54" s="29"/>
      <c r="C54" s="32" t="s">
        <v>89</v>
      </c>
      <c r="D54" s="80">
        <v>83.8</v>
      </c>
      <c r="E54" s="36"/>
    </row>
    <row r="57" spans="2:3" ht="19.5" customHeight="1">
      <c r="B57" s="89" t="s">
        <v>223</v>
      </c>
      <c r="C57" s="89"/>
    </row>
    <row r="58" spans="2:3" ht="19.5" customHeight="1">
      <c r="B58" s="75" t="s">
        <v>216</v>
      </c>
      <c r="C58" s="75" t="s">
        <v>217</v>
      </c>
    </row>
    <row r="59" spans="1:3" ht="19.5" customHeight="1">
      <c r="A59" s="28" t="s">
        <v>212</v>
      </c>
      <c r="B59" s="83">
        <v>1.6</v>
      </c>
      <c r="C59" s="82"/>
    </row>
    <row r="60" spans="1:3" ht="19.5" customHeight="1">
      <c r="A60" s="28" t="s">
        <v>213</v>
      </c>
      <c r="B60" s="83">
        <v>1.08</v>
      </c>
      <c r="C60" s="82"/>
    </row>
    <row r="61" spans="1:6" ht="19.5" customHeight="1">
      <c r="A61" s="28" t="s">
        <v>214</v>
      </c>
      <c r="B61" s="83">
        <v>1.08</v>
      </c>
      <c r="C61" s="82"/>
      <c r="F61" s="84"/>
    </row>
    <row r="62" spans="1:6" ht="19.5" customHeight="1">
      <c r="A62" s="28" t="s">
        <v>215</v>
      </c>
      <c r="B62" s="83">
        <v>1.08</v>
      </c>
      <c r="C62" s="82"/>
      <c r="F62" s="84"/>
    </row>
    <row r="63" ht="19.5" customHeight="1">
      <c r="F63" s="84"/>
    </row>
    <row r="64" ht="19.5" customHeight="1">
      <c r="F64" s="84"/>
    </row>
    <row r="65" ht="19.5" customHeight="1">
      <c r="F65" s="85"/>
    </row>
    <row r="66" ht="19.5" customHeight="1">
      <c r="F66" s="85"/>
    </row>
  </sheetData>
  <sheetProtection/>
  <mergeCells count="11">
    <mergeCell ref="A51:B51"/>
    <mergeCell ref="A1:B1"/>
    <mergeCell ref="A2:B2"/>
    <mergeCell ref="D1:E1"/>
    <mergeCell ref="A15:E15"/>
    <mergeCell ref="B57:C57"/>
    <mergeCell ref="A23:B23"/>
    <mergeCell ref="A29:E29"/>
    <mergeCell ref="A37:B37"/>
    <mergeCell ref="A38:B38"/>
    <mergeCell ref="A43:E43"/>
  </mergeCells>
  <dataValidations count="5">
    <dataValidation type="list" allowBlank="1" showInputMessage="1" showErrorMessage="1" sqref="B7">
      <formula1>"T1,T2,T3,T4,T5,T6,T7,&gt;T7"</formula1>
    </dataValidation>
    <dataValidation type="list" allowBlank="1" showInputMessage="1" showErrorMessage="1" sqref="E3">
      <formula1>"Simple flux,Double flux"</formula1>
    </dataValidation>
    <dataValidation type="list" allowBlank="1" showInputMessage="1" showErrorMessage="1" sqref="E4">
      <formula1>"Chaudière gaz condensation,PAC air/eau,PAC eau/eau,Chaudière granulés,Poele bois,Poele granulés,Electrique,Chaudière électrique"</formula1>
    </dataValidation>
    <dataValidation type="list" allowBlank="1" showInputMessage="1" showErrorMessage="1" sqref="E5">
      <formula1>"plancher chauffant,radiateurs,plancher/radiateurs"</formula1>
    </dataValidation>
    <dataValidation type="list" allowBlank="1" showInputMessage="1" showErrorMessage="1" sqref="E7">
      <formula1>"liée au système de chauffage,Ballon électrique,Ballon thermodynamique,Ballon solaire"</formula1>
    </dataValidation>
  </dataValidations>
  <printOptions/>
  <pageMargins left="0.787401575" right="0.787401575" top="0.984251969" bottom="0.984251969" header="0.4921259880065918" footer="0.4921259880065918"/>
  <pageSetup firstPageNumber="1" useFirstPageNumber="1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5"/>
  <sheetViews>
    <sheetView showGridLines="0" zoomScalePageLayoutView="0" workbookViewId="0" topLeftCell="A1">
      <selection activeCell="F14" sqref="F14"/>
    </sheetView>
  </sheetViews>
  <sheetFormatPr defaultColWidth="10.296875" defaultRowHeight="19.5" customHeight="1"/>
  <cols>
    <col min="1" max="21" width="10.19921875" style="1" customWidth="1"/>
    <col min="22" max="22" width="24.69921875" style="1" customWidth="1"/>
    <col min="23" max="16384" width="10.19921875" style="1" customWidth="1"/>
  </cols>
  <sheetData>
    <row r="1" spans="1:103" ht="15.75">
      <c r="A1" s="86" t="s">
        <v>187</v>
      </c>
      <c r="B1" s="87"/>
      <c r="C1" s="87"/>
      <c r="D1" s="87"/>
      <c r="E1" s="86" t="s">
        <v>79</v>
      </c>
      <c r="F1" s="87"/>
      <c r="G1" s="87"/>
      <c r="H1" s="87"/>
      <c r="I1" s="86" t="s">
        <v>33</v>
      </c>
      <c r="J1" s="87"/>
      <c r="K1" s="87"/>
      <c r="L1" s="87"/>
      <c r="M1" s="86" t="s">
        <v>34</v>
      </c>
      <c r="N1" s="87"/>
      <c r="O1" s="87"/>
      <c r="P1" s="87"/>
      <c r="Q1" s="86" t="s">
        <v>35</v>
      </c>
      <c r="R1" s="87"/>
      <c r="S1" s="87"/>
      <c r="T1" s="87"/>
      <c r="U1" s="86" t="s">
        <v>161</v>
      </c>
      <c r="V1" s="87"/>
      <c r="W1" s="86" t="s">
        <v>163</v>
      </c>
      <c r="X1" s="87"/>
      <c r="Y1" s="87"/>
      <c r="Z1" s="87"/>
      <c r="AA1" s="86" t="s">
        <v>167</v>
      </c>
      <c r="AB1" s="87"/>
      <c r="AC1" s="87"/>
      <c r="AD1" s="86" t="s">
        <v>171</v>
      </c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6" t="s">
        <v>183</v>
      </c>
      <c r="AQ1" s="87"/>
      <c r="AR1" s="87"/>
      <c r="AS1" s="87"/>
      <c r="AT1" s="86" t="s">
        <v>186</v>
      </c>
      <c r="AU1" s="87"/>
      <c r="AV1" s="87"/>
      <c r="AW1" s="87"/>
      <c r="AX1" s="86" t="s">
        <v>145</v>
      </c>
      <c r="AY1" s="87"/>
      <c r="AZ1" s="87"/>
      <c r="BA1" s="87"/>
      <c r="BB1" s="86" t="s">
        <v>146</v>
      </c>
      <c r="BC1" s="87"/>
      <c r="BD1" s="87"/>
      <c r="BE1" s="87"/>
      <c r="BF1" s="86" t="s">
        <v>105</v>
      </c>
      <c r="BG1" s="87"/>
      <c r="BH1" s="87"/>
      <c r="BI1" s="87"/>
      <c r="BJ1" s="86" t="s">
        <v>117</v>
      </c>
      <c r="BK1" s="87"/>
      <c r="BL1" s="87"/>
      <c r="BM1" s="87"/>
      <c r="BN1" s="87"/>
      <c r="BO1" s="87"/>
      <c r="BP1" s="87"/>
      <c r="BQ1" s="87"/>
      <c r="BR1" s="86" t="s">
        <v>130</v>
      </c>
      <c r="BS1" s="87"/>
      <c r="BT1" s="87"/>
      <c r="BU1" s="86" t="s">
        <v>12</v>
      </c>
      <c r="BV1" s="87"/>
      <c r="BW1" s="87"/>
      <c r="BX1" s="87"/>
      <c r="BY1" s="87"/>
      <c r="BZ1" s="86" t="s">
        <v>16</v>
      </c>
      <c r="CA1" s="87"/>
      <c r="CB1" s="87"/>
      <c r="CC1" s="87"/>
      <c r="CD1" s="87"/>
      <c r="CE1" s="86" t="s">
        <v>66</v>
      </c>
      <c r="CF1" s="87"/>
      <c r="CG1" s="87"/>
      <c r="CH1" s="87"/>
      <c r="CI1" s="87"/>
      <c r="CJ1" s="87"/>
      <c r="CK1" s="86" t="s">
        <v>70</v>
      </c>
      <c r="CL1" s="87"/>
      <c r="CM1" s="86" t="s">
        <v>72</v>
      </c>
      <c r="CN1" s="87"/>
      <c r="CO1" s="86" t="s">
        <v>73</v>
      </c>
      <c r="CP1" s="87"/>
      <c r="CQ1" s="86" t="s">
        <v>74</v>
      </c>
      <c r="CR1" s="87"/>
      <c r="CS1" s="86" t="s">
        <v>211</v>
      </c>
      <c r="CT1" s="86"/>
      <c r="CU1" s="87"/>
      <c r="CV1" s="86" t="s">
        <v>77</v>
      </c>
      <c r="CW1" s="87"/>
      <c r="CX1" s="86" t="s">
        <v>141</v>
      </c>
      <c r="CY1" s="87"/>
    </row>
    <row r="2" spans="1:103" ht="25.5">
      <c r="A2" s="7"/>
      <c r="B2" s="12"/>
      <c r="C2" s="12"/>
      <c r="D2" s="12"/>
      <c r="E2" s="17"/>
      <c r="F2" s="18"/>
      <c r="G2" s="18"/>
      <c r="H2" s="18"/>
      <c r="I2" s="7"/>
      <c r="J2" s="12"/>
      <c r="K2" s="12"/>
      <c r="L2" s="12"/>
      <c r="M2" s="7"/>
      <c r="N2" s="12"/>
      <c r="O2" s="12"/>
      <c r="P2" s="12"/>
      <c r="Q2" s="7"/>
      <c r="R2" s="12"/>
      <c r="S2" s="12"/>
      <c r="T2" s="12"/>
      <c r="U2" s="7"/>
      <c r="V2" s="12"/>
      <c r="W2" s="11"/>
      <c r="X2" s="18" t="s">
        <v>164</v>
      </c>
      <c r="Y2" s="18" t="s">
        <v>4</v>
      </c>
      <c r="Z2" s="18"/>
      <c r="AA2" s="7"/>
      <c r="AB2" s="7" t="s">
        <v>168</v>
      </c>
      <c r="AC2" s="7" t="s">
        <v>169</v>
      </c>
      <c r="AD2" s="7" t="s">
        <v>172</v>
      </c>
      <c r="AE2" s="7"/>
      <c r="AF2" s="7" t="s">
        <v>173</v>
      </c>
      <c r="AG2" s="7" t="s">
        <v>174</v>
      </c>
      <c r="AH2" s="7" t="s">
        <v>175</v>
      </c>
      <c r="AI2" s="7" t="s">
        <v>176</v>
      </c>
      <c r="AJ2" s="7"/>
      <c r="AK2" s="7" t="s">
        <v>177</v>
      </c>
      <c r="AL2" s="7"/>
      <c r="AM2" s="7" t="s">
        <v>178</v>
      </c>
      <c r="AN2" s="7"/>
      <c r="AO2" s="7" t="s">
        <v>179</v>
      </c>
      <c r="AP2" s="7"/>
      <c r="AQ2" s="12"/>
      <c r="AR2" s="12"/>
      <c r="AS2" s="12"/>
      <c r="AT2" s="7"/>
      <c r="AU2" s="12"/>
      <c r="AV2" s="12"/>
      <c r="AW2" s="12"/>
      <c r="AX2" s="7"/>
      <c r="AY2" s="12"/>
      <c r="AZ2" s="12"/>
      <c r="BA2" s="12"/>
      <c r="BB2" s="7"/>
      <c r="BC2" s="12"/>
      <c r="BD2" s="12"/>
      <c r="BE2" s="12"/>
      <c r="BF2" s="7" t="s">
        <v>106</v>
      </c>
      <c r="BG2" s="7" t="s">
        <v>107</v>
      </c>
      <c r="BH2" s="7" t="s">
        <v>108</v>
      </c>
      <c r="BI2" s="7" t="s">
        <v>109</v>
      </c>
      <c r="BJ2" s="7"/>
      <c r="BK2" s="17"/>
      <c r="BL2" s="17"/>
      <c r="BM2" s="17"/>
      <c r="BN2" s="91" t="s">
        <v>118</v>
      </c>
      <c r="BO2" s="91"/>
      <c r="BP2" s="91"/>
      <c r="BQ2" s="91"/>
      <c r="BR2" s="7"/>
      <c r="BS2" s="7" t="s">
        <v>131</v>
      </c>
      <c r="BT2" s="7" t="s">
        <v>132</v>
      </c>
      <c r="BU2" s="17" t="s">
        <v>118</v>
      </c>
      <c r="BV2" s="17" t="s">
        <v>120</v>
      </c>
      <c r="BW2" s="17" t="s">
        <v>13</v>
      </c>
      <c r="BX2" s="17" t="s">
        <v>14</v>
      </c>
      <c r="BY2" s="17" t="s">
        <v>15</v>
      </c>
      <c r="BZ2" s="7"/>
      <c r="CA2" s="7" t="s">
        <v>17</v>
      </c>
      <c r="CB2" s="7" t="s">
        <v>18</v>
      </c>
      <c r="CC2" s="7" t="s">
        <v>19</v>
      </c>
      <c r="CD2" s="7" t="s">
        <v>20</v>
      </c>
      <c r="CE2" s="7"/>
      <c r="CF2" s="7" t="s">
        <v>122</v>
      </c>
      <c r="CG2" s="7" t="s">
        <v>123</v>
      </c>
      <c r="CH2" s="7" t="s">
        <v>124</v>
      </c>
      <c r="CI2" s="7" t="s">
        <v>125</v>
      </c>
      <c r="CJ2" s="7" t="s">
        <v>169</v>
      </c>
      <c r="CK2" s="7" t="s">
        <v>21</v>
      </c>
      <c r="CL2" s="45">
        <v>5.8</v>
      </c>
      <c r="CM2" s="7" t="s">
        <v>21</v>
      </c>
      <c r="CN2" s="47">
        <f>1.16*(Hypothèses!B$3*45)*('Base de données'!CP2-'Base de données'!CL2)*'Base de données'!CR2*'Base de données'!CT3/1000</f>
        <v>0</v>
      </c>
      <c r="CO2" s="7" t="s">
        <v>21</v>
      </c>
      <c r="CP2" s="45">
        <v>55</v>
      </c>
      <c r="CQ2" s="7" t="s">
        <v>21</v>
      </c>
      <c r="CR2" s="48">
        <v>1</v>
      </c>
      <c r="CS2" s="50" t="s">
        <v>75</v>
      </c>
      <c r="CT2" s="76" t="s">
        <v>220</v>
      </c>
      <c r="CU2" s="51">
        <v>90</v>
      </c>
      <c r="CV2" s="7"/>
      <c r="CW2" s="7"/>
      <c r="CX2" s="7"/>
      <c r="CY2" s="7"/>
    </row>
    <row r="3" spans="1:103" ht="51">
      <c r="A3" s="7" t="s">
        <v>188</v>
      </c>
      <c r="B3" s="13">
        <v>1</v>
      </c>
      <c r="C3" s="6">
        <f>IF(Hypothèses!E4="Chaudière gaz condensation",1,0)</f>
        <v>1</v>
      </c>
      <c r="D3" s="14">
        <f aca="true" t="shared" si="0" ref="D3:D9">B3*C3</f>
        <v>1</v>
      </c>
      <c r="E3" s="7" t="s">
        <v>188</v>
      </c>
      <c r="F3" s="19">
        <v>1</v>
      </c>
      <c r="G3" s="20" t="b">
        <f>AND(Hypothèses!E4="Chaudière gaz condensation",Hypothèses!E7="Liée au système de chauffage")</f>
        <v>0</v>
      </c>
      <c r="H3" s="21">
        <f aca="true" t="shared" si="1" ref="H3:H14">F3*G3</f>
        <v>0</v>
      </c>
      <c r="I3" s="7" t="s">
        <v>188</v>
      </c>
      <c r="J3" s="23">
        <v>1.09</v>
      </c>
      <c r="K3" s="6">
        <f>IF(Hypothèses!E4="Chaudière gaz condensation",1,0)</f>
        <v>1</v>
      </c>
      <c r="L3" s="14">
        <f aca="true" t="shared" si="2" ref="L3:L9">J3*K3</f>
        <v>1.09</v>
      </c>
      <c r="M3" s="7" t="s">
        <v>188</v>
      </c>
      <c r="N3" s="23">
        <v>0.9</v>
      </c>
      <c r="O3" s="20" t="b">
        <f>AND(Hypothèses!E4="Chaudière gaz condensation",Hypothèses!E7="Liée au système de chauffage")</f>
        <v>0</v>
      </c>
      <c r="P3" s="14">
        <f aca="true" t="shared" si="3" ref="P3:P14">N3*O3</f>
        <v>0</v>
      </c>
      <c r="Q3" s="7" t="s">
        <v>188</v>
      </c>
      <c r="R3" s="23">
        <v>0.8</v>
      </c>
      <c r="S3" s="20" t="b">
        <f>O3</f>
        <v>0</v>
      </c>
      <c r="T3" s="14">
        <f aca="true" t="shared" si="4" ref="T3:T14">R3*S3</f>
        <v>0</v>
      </c>
      <c r="U3" s="7"/>
      <c r="V3" s="25"/>
      <c r="W3" s="11" t="s">
        <v>165</v>
      </c>
      <c r="X3" s="26">
        <v>15</v>
      </c>
      <c r="Y3" s="26">
        <v>23</v>
      </c>
      <c r="Z3" s="27">
        <f>IF(Hypothèses!E3="Simple flux",X3)+IF(Hypothèses!E3="Double flux",Y3)</f>
        <v>23</v>
      </c>
      <c r="AA3" s="2" t="s">
        <v>170</v>
      </c>
      <c r="AB3" s="13">
        <v>125</v>
      </c>
      <c r="AC3" s="15">
        <f>AB3*Hypothèses!B3</f>
        <v>0</v>
      </c>
      <c r="AD3" s="2">
        <v>1</v>
      </c>
      <c r="AE3" s="8">
        <f>IF(Hypothèses!$B$7="T1",1,0)</f>
        <v>0</v>
      </c>
      <c r="AF3" s="8">
        <v>20</v>
      </c>
      <c r="AG3" s="8">
        <v>75</v>
      </c>
      <c r="AH3" s="8">
        <v>15</v>
      </c>
      <c r="AI3" s="8">
        <v>15</v>
      </c>
      <c r="AJ3" s="8">
        <f>IF(AND(Hypothèses!$B$9&gt;1,Hypothèses!$B$7="T1"),Hypothèses!$B$9-1,0)</f>
        <v>0</v>
      </c>
      <c r="AK3" s="8">
        <v>15</v>
      </c>
      <c r="AL3" s="8">
        <f>IF(AND(Hypothèses!$B$8=1,Hypothèses!$B$7="T1"),1,0)</f>
        <v>0</v>
      </c>
      <c r="AM3" s="8">
        <v>15</v>
      </c>
      <c r="AN3" s="8">
        <f>IF(AND(Hypothèses!$B$8&gt;1,Hypothèses!$B$7="T1"),Hypothèses!$B$8,0)</f>
        <v>0</v>
      </c>
      <c r="AO3" s="8"/>
      <c r="AP3" s="7" t="s">
        <v>184</v>
      </c>
      <c r="AQ3" s="14">
        <v>0.9</v>
      </c>
      <c r="AR3" s="6">
        <f>IF(Hypothèses!E4="Chaudière gaz condensation",1,0)+IF(Hypothèses!E4="PAC air/eau",1,0)+IF(Hypothèses!E4="PAC eau/eau",1,0)+IF(Hypothèses!E4="Chaudière granulés",1,0)+IF(Hypothèses!E4="Chaudière électrique",1,0)</f>
        <v>1</v>
      </c>
      <c r="AS3" s="14">
        <f>AQ3*AR3</f>
        <v>0.9</v>
      </c>
      <c r="AT3" s="7" t="s">
        <v>143</v>
      </c>
      <c r="AU3" s="14">
        <v>0.97</v>
      </c>
      <c r="AV3" s="6">
        <f>IF(Hypothèses!E4="Chaudière gaz condensation",1,0)+IF(Hypothèses!E4="PAC air/eau",1,0)+IF(Hypothèses!E4="PAC eau/eau",1,0)+IF(Hypothèses!E4="Chaudière granulés",1,0)+IF(Hypothèses!E4="Chaudière électrique",1,0)+IF(Hypothèses!E4="Electrique",1,0)</f>
        <v>1</v>
      </c>
      <c r="AW3" s="14">
        <f>AU3*AV3</f>
        <v>0.97</v>
      </c>
      <c r="AX3" s="7" t="s">
        <v>188</v>
      </c>
      <c r="AY3" s="23">
        <v>120</v>
      </c>
      <c r="AZ3" s="6">
        <f>IF(Hypothèses!E4="Chaudière gaz condensation",1,0)</f>
        <v>1</v>
      </c>
      <c r="BA3" s="14">
        <f>AY3*AZ3</f>
        <v>120</v>
      </c>
      <c r="BB3" s="7" t="s">
        <v>188</v>
      </c>
      <c r="BC3" s="23">
        <v>120</v>
      </c>
      <c r="BD3" s="6">
        <f>IF(Hypothèses!E4="Chaudière gaz condensation",1,0)</f>
        <v>1</v>
      </c>
      <c r="BE3" s="14">
        <f>BC3*BD3</f>
        <v>120</v>
      </c>
      <c r="BF3" s="2" t="s">
        <v>110</v>
      </c>
      <c r="BG3" s="37">
        <v>0.07</v>
      </c>
      <c r="BH3" s="37">
        <f>2.5*9</f>
        <v>22.5</v>
      </c>
      <c r="BI3" s="37">
        <f aca="true" t="shared" si="5" ref="BI3:BI9">BG3*BH3</f>
        <v>1.5750000000000002</v>
      </c>
      <c r="BJ3" s="7"/>
      <c r="BK3" s="17" t="s">
        <v>119</v>
      </c>
      <c r="BL3" s="17" t="s">
        <v>120</v>
      </c>
      <c r="BM3" s="17" t="s">
        <v>121</v>
      </c>
      <c r="BN3" s="17" t="s">
        <v>122</v>
      </c>
      <c r="BO3" s="17" t="s">
        <v>123</v>
      </c>
      <c r="BP3" s="17" t="s">
        <v>124</v>
      </c>
      <c r="BQ3" s="17" t="s">
        <v>125</v>
      </c>
      <c r="BR3" s="2" t="s">
        <v>0</v>
      </c>
      <c r="BS3" s="37">
        <v>1.8</v>
      </c>
      <c r="BT3" s="37">
        <v>3.23</v>
      </c>
      <c r="BU3" s="7" t="s">
        <v>122</v>
      </c>
      <c r="BV3" s="37">
        <f>BL4</f>
        <v>0</v>
      </c>
      <c r="BW3" s="37">
        <v>0.67</v>
      </c>
      <c r="BX3" s="37">
        <v>0.44</v>
      </c>
      <c r="BY3" s="37">
        <f>BV3*BW3*BX3</f>
        <v>0</v>
      </c>
      <c r="BZ3" s="7" t="s">
        <v>21</v>
      </c>
      <c r="CA3" s="37">
        <v>14</v>
      </c>
      <c r="CB3" s="37">
        <v>22</v>
      </c>
      <c r="CC3" s="37">
        <v>46</v>
      </c>
      <c r="CD3" s="37">
        <v>22</v>
      </c>
      <c r="CE3" s="7" t="s">
        <v>21</v>
      </c>
      <c r="CF3" s="43">
        <f>BY$3*CA3</f>
        <v>0</v>
      </c>
      <c r="CG3" s="37">
        <f>BY$4*CB3</f>
        <v>0</v>
      </c>
      <c r="CH3" s="43">
        <f>BY$5*CC3</f>
        <v>0</v>
      </c>
      <c r="CI3" s="43">
        <f>BY$6*CD3</f>
        <v>0</v>
      </c>
      <c r="CJ3" s="43">
        <f>SUM(CF3:CI3)*24*CT3/1000</f>
        <v>0</v>
      </c>
      <c r="CK3" s="7" t="s">
        <v>22</v>
      </c>
      <c r="CL3" s="46">
        <v>6.4</v>
      </c>
      <c r="CM3" s="7" t="s">
        <v>22</v>
      </c>
      <c r="CN3" s="47">
        <f>1.16*(Hypothèses!B$3*45)*('Base de données'!CP3-'Base de données'!CL3)*'Base de données'!CR3*'Base de données'!CT4/1000</f>
        <v>0</v>
      </c>
      <c r="CO3" s="7" t="s">
        <v>22</v>
      </c>
      <c r="CP3" s="46">
        <v>55</v>
      </c>
      <c r="CQ3" s="7" t="s">
        <v>22</v>
      </c>
      <c r="CR3" s="49">
        <v>1</v>
      </c>
      <c r="CS3" s="53" t="s">
        <v>21</v>
      </c>
      <c r="CT3" s="77">
        <v>31</v>
      </c>
      <c r="CU3" s="54">
        <v>541</v>
      </c>
      <c r="CV3" s="2" t="s">
        <v>78</v>
      </c>
      <c r="CW3" s="57">
        <v>13</v>
      </c>
      <c r="CX3" s="2" t="s">
        <v>142</v>
      </c>
      <c r="CY3" s="70" t="e">
        <f>(CW3*Déperditions!D16+CW4*Déperditions!D33)/24</f>
        <v>#DIV/0!</v>
      </c>
    </row>
    <row r="4" spans="1:101" ht="51">
      <c r="A4" s="7" t="s">
        <v>189</v>
      </c>
      <c r="B4" s="13">
        <v>2.58</v>
      </c>
      <c r="C4" s="6">
        <f>IF(Hypothèses!E4="PAC air/eau",1,0)</f>
        <v>0</v>
      </c>
      <c r="D4" s="14">
        <f t="shared" si="0"/>
        <v>0</v>
      </c>
      <c r="E4" s="7" t="s">
        <v>25</v>
      </c>
      <c r="F4" s="19">
        <v>1</v>
      </c>
      <c r="G4" s="20" t="b">
        <f>AND(Hypothèses!E4="Chaudière gaz condensation",Hypothèses!E7="Ballon solaire")</f>
        <v>1</v>
      </c>
      <c r="H4" s="21">
        <f t="shared" si="1"/>
        <v>1</v>
      </c>
      <c r="I4" s="7" t="s">
        <v>189</v>
      </c>
      <c r="J4" s="23">
        <v>3</v>
      </c>
      <c r="K4" s="6">
        <f>IF(Hypothèses!E4="PAC air/eau",1,0)</f>
        <v>0</v>
      </c>
      <c r="L4" s="14">
        <f t="shared" si="2"/>
        <v>0</v>
      </c>
      <c r="M4" s="7" t="s">
        <v>25</v>
      </c>
      <c r="N4" s="23">
        <v>0.8</v>
      </c>
      <c r="O4" s="20" t="b">
        <f>AND(Hypothèses!E4="Chaudière gaz condensation",Hypothèses!E7="Ballon solaire")</f>
        <v>1</v>
      </c>
      <c r="P4" s="14">
        <f t="shared" si="3"/>
        <v>0.8</v>
      </c>
      <c r="Q4" s="7" t="s">
        <v>25</v>
      </c>
      <c r="R4" s="23">
        <v>0.6</v>
      </c>
      <c r="S4" s="20" t="b">
        <f>O4</f>
        <v>1</v>
      </c>
      <c r="T4" s="14">
        <f t="shared" si="4"/>
        <v>0.6</v>
      </c>
      <c r="U4" s="7" t="s">
        <v>188</v>
      </c>
      <c r="V4" s="25" t="e">
        <f>2.9*144/Hypothèses!$B$5</f>
        <v>#DIV/0!</v>
      </c>
      <c r="W4" s="11" t="s">
        <v>166</v>
      </c>
      <c r="X4" s="26">
        <v>15</v>
      </c>
      <c r="Y4" s="26">
        <v>81</v>
      </c>
      <c r="Z4" s="27">
        <f>IF(Hypothèses!E3="Simple flux",X4)+IF(Hypothèses!E3="Double flux",Y4)</f>
        <v>81</v>
      </c>
      <c r="AD4" s="2">
        <v>2</v>
      </c>
      <c r="AE4" s="8">
        <f>IF(Hypothèses!$B$7="T2",1,0)</f>
        <v>0</v>
      </c>
      <c r="AF4" s="8">
        <v>30</v>
      </c>
      <c r="AG4" s="8">
        <v>90</v>
      </c>
      <c r="AH4" s="8">
        <v>15</v>
      </c>
      <c r="AI4" s="8">
        <v>15</v>
      </c>
      <c r="AJ4" s="8">
        <f>IF(AND(Hypothèses!$B$9&gt;1,Hypothèses!$B$7="T2"),Hypothèses!$B$9-1,0)</f>
        <v>0</v>
      </c>
      <c r="AK4" s="8">
        <v>15</v>
      </c>
      <c r="AL4" s="8">
        <f>IF(AND(Hypothèses!$B$8=1,Hypothèses!$B$7="T2"),1,0)</f>
        <v>0</v>
      </c>
      <c r="AM4" s="8">
        <v>15</v>
      </c>
      <c r="AN4" s="8">
        <f>IF(AND(Hypothèses!$B$8&gt;1,Hypothèses!$B$7="T2"),Hypothèses!$B$8,0)</f>
        <v>0</v>
      </c>
      <c r="AO4" s="8"/>
      <c r="AP4" s="7" t="s">
        <v>185</v>
      </c>
      <c r="AQ4" s="14">
        <v>1</v>
      </c>
      <c r="AR4" s="6">
        <f>IF(Hypothèses!E4="Electrique",1,0)+IF(Hypothèses!E4="Poele bois",1,0)+IF(Hypothèses!E4="Poele granulés",1,0)</f>
        <v>0</v>
      </c>
      <c r="AS4" s="14">
        <f>AQ4*AR4</f>
        <v>0</v>
      </c>
      <c r="AT4" s="7" t="s">
        <v>144</v>
      </c>
      <c r="AU4" s="14">
        <v>0.8</v>
      </c>
      <c r="AV4" s="6">
        <f>IF(Hypothèses!E4="Poele bois",1,0)+IF(Hypothèses!E4="Poele granulés",1,0)</f>
        <v>0</v>
      </c>
      <c r="AW4" s="14">
        <f>AU4*AV4</f>
        <v>0</v>
      </c>
      <c r="AX4" s="7" t="s">
        <v>189</v>
      </c>
      <c r="AY4" s="23">
        <v>120</v>
      </c>
      <c r="AZ4" s="6">
        <f>IF(Hypothèses!E4="PAC air/eau",1,0)</f>
        <v>0</v>
      </c>
      <c r="BA4" s="14">
        <f>AY4*AZ4</f>
        <v>0</v>
      </c>
      <c r="BB4" s="7" t="s">
        <v>189</v>
      </c>
      <c r="BC4" s="23">
        <v>120</v>
      </c>
      <c r="BD4" s="6">
        <f>IF(Hypothèses!E4="PAC air/eau",1,0)</f>
        <v>0</v>
      </c>
      <c r="BE4" s="14">
        <f>BC4*BD4</f>
        <v>0</v>
      </c>
      <c r="BF4" s="2" t="s">
        <v>111</v>
      </c>
      <c r="BG4" s="37">
        <v>0.09</v>
      </c>
      <c r="BH4" s="37">
        <v>2.5</v>
      </c>
      <c r="BI4" s="37">
        <f t="shared" si="5"/>
        <v>0.22499999999999998</v>
      </c>
      <c r="BJ4" s="2" t="s">
        <v>126</v>
      </c>
      <c r="BK4" s="37">
        <f>Hypothèses!B59</f>
        <v>1.6</v>
      </c>
      <c r="BL4" s="37">
        <f>Hypothèses!C59</f>
        <v>0</v>
      </c>
      <c r="BM4" s="37">
        <v>0.44</v>
      </c>
      <c r="BN4" s="37" t="b">
        <v>1</v>
      </c>
      <c r="BO4" s="37" t="b">
        <v>0</v>
      </c>
      <c r="BP4" s="37" t="b">
        <v>0</v>
      </c>
      <c r="BQ4" s="37" t="b">
        <v>0</v>
      </c>
      <c r="BR4" s="2" t="s">
        <v>1</v>
      </c>
      <c r="BS4" s="37">
        <v>1.4</v>
      </c>
      <c r="BT4" s="37">
        <v>1.94</v>
      </c>
      <c r="BU4" s="7" t="s">
        <v>123</v>
      </c>
      <c r="BV4" s="37">
        <f>BL5</f>
        <v>0</v>
      </c>
      <c r="BW4" s="37">
        <v>0.72</v>
      </c>
      <c r="BX4" s="37">
        <v>0.44</v>
      </c>
      <c r="BY4" s="37">
        <f>BV4*BW4*BX4</f>
        <v>0</v>
      </c>
      <c r="BZ4" s="7" t="s">
        <v>22</v>
      </c>
      <c r="CA4" s="37">
        <v>20</v>
      </c>
      <c r="CB4" s="37">
        <v>33</v>
      </c>
      <c r="CC4" s="37">
        <v>59</v>
      </c>
      <c r="CD4" s="37">
        <v>33</v>
      </c>
      <c r="CE4" s="7" t="s">
        <v>67</v>
      </c>
      <c r="CF4" s="43">
        <f aca="true" t="shared" si="6" ref="CF4:CF14">BY$3*CA4</f>
        <v>0</v>
      </c>
      <c r="CG4" s="37">
        <f aca="true" t="shared" si="7" ref="CG4:CG14">BY$4*CB4</f>
        <v>0</v>
      </c>
      <c r="CH4" s="43">
        <f aca="true" t="shared" si="8" ref="CH4:CH14">BY$5*CC4</f>
        <v>0</v>
      </c>
      <c r="CI4" s="43">
        <f aca="true" t="shared" si="9" ref="CI4:CI14">BY$6*CD4</f>
        <v>0</v>
      </c>
      <c r="CJ4" s="43">
        <f aca="true" t="shared" si="10" ref="CJ4:CJ14">SUM(CF4:CI4)*24*CT4/1000</f>
        <v>0</v>
      </c>
      <c r="CK4" s="7" t="s">
        <v>23</v>
      </c>
      <c r="CL4" s="46">
        <v>8.5</v>
      </c>
      <c r="CM4" s="7" t="s">
        <v>23</v>
      </c>
      <c r="CN4" s="47">
        <f>1.16*(Hypothèses!B$3*45)*('Base de données'!CP4-'Base de données'!CL4)*'Base de données'!CR4*'Base de données'!CT5/1000</f>
        <v>0</v>
      </c>
      <c r="CO4" s="7" t="s">
        <v>23</v>
      </c>
      <c r="CP4" s="46">
        <v>55</v>
      </c>
      <c r="CQ4" s="7" t="s">
        <v>23</v>
      </c>
      <c r="CR4" s="49">
        <v>1</v>
      </c>
      <c r="CS4" s="55" t="s">
        <v>22</v>
      </c>
      <c r="CT4" s="78">
        <v>28</v>
      </c>
      <c r="CU4" s="54">
        <v>438</v>
      </c>
      <c r="CV4" s="2" t="s">
        <v>133</v>
      </c>
      <c r="CW4" s="58">
        <v>11</v>
      </c>
    </row>
    <row r="5" spans="1:101" ht="25.5">
      <c r="A5" s="7" t="s">
        <v>190</v>
      </c>
      <c r="B5" s="13">
        <v>2.58</v>
      </c>
      <c r="C5" s="6">
        <f>IF(Hypothèses!E4="PAC eau/eau",1,0)</f>
        <v>0</v>
      </c>
      <c r="D5" s="14">
        <f t="shared" si="0"/>
        <v>0</v>
      </c>
      <c r="E5" s="7" t="s">
        <v>189</v>
      </c>
      <c r="F5" s="19">
        <v>2.58</v>
      </c>
      <c r="G5" s="20" t="b">
        <f>AND(Hypothèses!E4="PAC air/eau",Hypothèses!E7="Liée au système de chauffage")</f>
        <v>0</v>
      </c>
      <c r="H5" s="21">
        <f t="shared" si="1"/>
        <v>0</v>
      </c>
      <c r="I5" s="7" t="s">
        <v>190</v>
      </c>
      <c r="J5" s="23">
        <v>4</v>
      </c>
      <c r="K5" s="6">
        <f>IF(Hypothèses!E4="PAC eau/eau",1,0)</f>
        <v>0</v>
      </c>
      <c r="L5" s="14">
        <f t="shared" si="2"/>
        <v>0</v>
      </c>
      <c r="M5" s="7" t="s">
        <v>189</v>
      </c>
      <c r="N5" s="23">
        <v>1.77</v>
      </c>
      <c r="O5" s="20" t="b">
        <f>AND(Hypothèses!E4="PAC air/eau",Hypothèses!E7="Liée au système de chauffage")</f>
        <v>0</v>
      </c>
      <c r="P5" s="14">
        <f t="shared" si="3"/>
        <v>0</v>
      </c>
      <c r="Q5" s="7" t="s">
        <v>189</v>
      </c>
      <c r="R5" s="23">
        <v>1.77</v>
      </c>
      <c r="S5" s="20" t="b">
        <f aca="true" t="shared" si="11" ref="S5:S14">O5</f>
        <v>0</v>
      </c>
      <c r="T5" s="14">
        <f t="shared" si="4"/>
        <v>0</v>
      </c>
      <c r="U5" s="7" t="s">
        <v>189</v>
      </c>
      <c r="V5" s="25" t="e">
        <f>2.9*144/Hypothèses!$B$5</f>
        <v>#DIV/0!</v>
      </c>
      <c r="W5" s="11"/>
      <c r="X5" s="19"/>
      <c r="Y5" s="19"/>
      <c r="Z5" s="19"/>
      <c r="AD5" s="2">
        <v>3</v>
      </c>
      <c r="AE5" s="8">
        <f>IF(Hypothèses!$B$7="T3",1,0)</f>
        <v>0</v>
      </c>
      <c r="AF5" s="8">
        <v>45</v>
      </c>
      <c r="AG5" s="8">
        <v>105</v>
      </c>
      <c r="AH5" s="8">
        <v>30</v>
      </c>
      <c r="AI5" s="8">
        <v>15</v>
      </c>
      <c r="AJ5" s="8">
        <f>IF(AND(Hypothèses!$B$9&gt;1,Hypothèses!$B$7="T3"),Hypothèses!$B$9-1,0)</f>
        <v>0</v>
      </c>
      <c r="AK5" s="8">
        <v>15</v>
      </c>
      <c r="AL5" s="8">
        <f>IF(AND(Hypothèses!$B$8=1,Hypothèses!$B$7="T3"),1,0)</f>
        <v>0</v>
      </c>
      <c r="AM5" s="8">
        <v>15</v>
      </c>
      <c r="AN5" s="8">
        <f>IF(AND(Hypothèses!$B$8&gt;1,Hypothèses!$B$7="T3"),Hypothèses!$B$8,0)</f>
        <v>0</v>
      </c>
      <c r="AO5" s="8"/>
      <c r="AP5" s="7"/>
      <c r="AQ5" s="13"/>
      <c r="AR5" s="13"/>
      <c r="AS5" s="15">
        <f>SUM(AS3:AS4)</f>
        <v>0.9</v>
      </c>
      <c r="AT5" s="7"/>
      <c r="AU5" s="13"/>
      <c r="AV5" s="13"/>
      <c r="AW5" s="15">
        <f>SUM(AW3:AW4)</f>
        <v>0.97</v>
      </c>
      <c r="AX5" s="7" t="s">
        <v>190</v>
      </c>
      <c r="AY5" s="23">
        <v>200</v>
      </c>
      <c r="AZ5" s="6">
        <f>IF(Hypothèses!E4="PAC eau/eau",1,0)</f>
        <v>0</v>
      </c>
      <c r="BA5" s="14">
        <f>AY5*AZ5</f>
        <v>0</v>
      </c>
      <c r="BB5" s="7" t="s">
        <v>190</v>
      </c>
      <c r="BC5" s="23">
        <v>200</v>
      </c>
      <c r="BD5" s="6">
        <f>IF(Hypothèses!E4="PAC eau/eau",1,0)</f>
        <v>0</v>
      </c>
      <c r="BE5" s="14">
        <f>BC5*BD5</f>
        <v>0</v>
      </c>
      <c r="BF5" s="2" t="s">
        <v>112</v>
      </c>
      <c r="BG5" s="37">
        <v>0.04</v>
      </c>
      <c r="BH5" s="37">
        <f>5</f>
        <v>5</v>
      </c>
      <c r="BI5" s="37">
        <f t="shared" si="5"/>
        <v>0.2</v>
      </c>
      <c r="BJ5" s="2" t="s">
        <v>127</v>
      </c>
      <c r="BK5" s="37">
        <f>Hypothèses!B60</f>
        <v>1.08</v>
      </c>
      <c r="BL5" s="37">
        <f>Hypothèses!C60</f>
        <v>0</v>
      </c>
      <c r="BM5" s="37">
        <v>0.44</v>
      </c>
      <c r="BN5" s="37" t="b">
        <v>0</v>
      </c>
      <c r="BO5" s="37" t="b">
        <v>1</v>
      </c>
      <c r="BP5" s="37" t="b">
        <v>0</v>
      </c>
      <c r="BQ5" s="37" t="b">
        <v>0</v>
      </c>
      <c r="BU5" s="7" t="s">
        <v>124</v>
      </c>
      <c r="BV5" s="37">
        <f>BL6</f>
        <v>0</v>
      </c>
      <c r="BW5" s="37">
        <v>0.89</v>
      </c>
      <c r="BX5" s="37">
        <v>0.44</v>
      </c>
      <c r="BY5" s="37">
        <f>BV5*BW5*BX5</f>
        <v>0</v>
      </c>
      <c r="BZ5" s="7" t="s">
        <v>23</v>
      </c>
      <c r="CA5" s="37">
        <v>35</v>
      </c>
      <c r="CB5" s="37">
        <v>58</v>
      </c>
      <c r="CC5" s="37">
        <v>86</v>
      </c>
      <c r="CD5" s="37">
        <v>58</v>
      </c>
      <c r="CE5" s="7" t="s">
        <v>23</v>
      </c>
      <c r="CF5" s="43">
        <f t="shared" si="6"/>
        <v>0</v>
      </c>
      <c r="CG5" s="37">
        <f t="shared" si="7"/>
        <v>0</v>
      </c>
      <c r="CH5" s="43">
        <f t="shared" si="8"/>
        <v>0</v>
      </c>
      <c r="CI5" s="43">
        <f t="shared" si="9"/>
        <v>0</v>
      </c>
      <c r="CJ5" s="43">
        <f t="shared" si="10"/>
        <v>0</v>
      </c>
      <c r="CK5" s="7" t="s">
        <v>68</v>
      </c>
      <c r="CL5" s="46">
        <v>10</v>
      </c>
      <c r="CM5" s="7" t="s">
        <v>68</v>
      </c>
      <c r="CN5" s="47">
        <f>1.16*(Hypothèses!B$3*45)*('Base de données'!CP5-'Base de données'!CL5)*'Base de données'!CR5*'Base de données'!CT6/1000</f>
        <v>0</v>
      </c>
      <c r="CO5" s="7" t="s">
        <v>68</v>
      </c>
      <c r="CP5" s="46">
        <v>55</v>
      </c>
      <c r="CQ5" s="7" t="s">
        <v>68</v>
      </c>
      <c r="CR5" s="49">
        <v>1</v>
      </c>
      <c r="CS5" s="55" t="s">
        <v>23</v>
      </c>
      <c r="CT5" s="78">
        <v>31</v>
      </c>
      <c r="CU5" s="54">
        <v>395</v>
      </c>
      <c r="CV5" s="2" t="s">
        <v>134</v>
      </c>
      <c r="CW5" s="39">
        <f>(Hypothèses!B11*CW3+Hypothèses!B12*CW4)/24</f>
        <v>0</v>
      </c>
    </row>
    <row r="6" spans="1:99" ht="25.5">
      <c r="A6" s="7" t="s">
        <v>191</v>
      </c>
      <c r="B6" s="13">
        <v>0.6</v>
      </c>
      <c r="C6" s="6">
        <f>IF(Hypothèses!E4="Chaudière granulés",1,0)</f>
        <v>0</v>
      </c>
      <c r="D6" s="14">
        <f t="shared" si="0"/>
        <v>0</v>
      </c>
      <c r="E6" s="7" t="s">
        <v>26</v>
      </c>
      <c r="F6" s="19">
        <v>2.58</v>
      </c>
      <c r="G6" s="20" t="b">
        <f>AND(Hypothèses!E4="PAC air/eau",Hypothèses!E7="Ballon solaire")</f>
        <v>0</v>
      </c>
      <c r="H6" s="21">
        <f t="shared" si="1"/>
        <v>0</v>
      </c>
      <c r="I6" s="7" t="s">
        <v>6</v>
      </c>
      <c r="J6" s="23">
        <v>0.95</v>
      </c>
      <c r="K6" s="6">
        <f>IF(Hypothèses!E4="Chaudière granulés",1,0)</f>
        <v>0</v>
      </c>
      <c r="L6" s="14">
        <f t="shared" si="2"/>
        <v>0</v>
      </c>
      <c r="M6" s="7" t="s">
        <v>26</v>
      </c>
      <c r="N6" s="23">
        <v>1</v>
      </c>
      <c r="O6" s="20" t="b">
        <f>AND(Hypothèses!E4="PAC air/eau",Hypothèses!E7="Ballon solaire")</f>
        <v>0</v>
      </c>
      <c r="P6" s="14">
        <f t="shared" si="3"/>
        <v>0</v>
      </c>
      <c r="Q6" s="7" t="s">
        <v>26</v>
      </c>
      <c r="R6" s="23">
        <v>1</v>
      </c>
      <c r="S6" s="20" t="b">
        <f t="shared" si="11"/>
        <v>0</v>
      </c>
      <c r="T6" s="14">
        <f t="shared" si="4"/>
        <v>0</v>
      </c>
      <c r="U6" s="7" t="s">
        <v>190</v>
      </c>
      <c r="V6" s="25" t="e">
        <f>2.9*144/Hypothèses!$B$5</f>
        <v>#DIV/0!</v>
      </c>
      <c r="AD6" s="2">
        <v>4</v>
      </c>
      <c r="AE6" s="8">
        <f>IF(Hypothèses!$B$7="T4",1,0)</f>
        <v>0</v>
      </c>
      <c r="AF6" s="8">
        <v>45</v>
      </c>
      <c r="AG6" s="8">
        <v>120</v>
      </c>
      <c r="AH6" s="8">
        <v>30</v>
      </c>
      <c r="AI6" s="8">
        <v>15</v>
      </c>
      <c r="AJ6" s="8">
        <f>IF(AND(Hypothèses!$B$9&gt;1,Hypothèses!$B$7="T4"),Hypothèses!$B$9-1,0)</f>
        <v>0</v>
      </c>
      <c r="AK6" s="8">
        <v>30</v>
      </c>
      <c r="AL6" s="8">
        <f>IF(AND(Hypothèses!$B$8=1,Hypothèses!$B$7="T4"),1,0)</f>
        <v>0</v>
      </c>
      <c r="AM6" s="8">
        <v>15</v>
      </c>
      <c r="AN6" s="8">
        <f>IF(AND(Hypothèses!$B$8&gt;1,Hypothèses!$B$7="T4"),Hypothèses!$B$8,0)</f>
        <v>0</v>
      </c>
      <c r="AO6" s="8"/>
      <c r="AX6" s="7" t="s">
        <v>6</v>
      </c>
      <c r="AY6" s="23">
        <v>150</v>
      </c>
      <c r="AZ6" s="6">
        <f>IF(Hypothèses!E4="Chaudière granulés",1,0)</f>
        <v>0</v>
      </c>
      <c r="BA6" s="14">
        <f>AY6*AZ6</f>
        <v>0</v>
      </c>
      <c r="BB6" s="7" t="s">
        <v>6</v>
      </c>
      <c r="BC6" s="23">
        <v>150</v>
      </c>
      <c r="BD6" s="6">
        <f>IF(Hypothèses!E4="Chaudière granulés",1,0)</f>
        <v>0</v>
      </c>
      <c r="BE6" s="14">
        <f>BC6*BD6</f>
        <v>0</v>
      </c>
      <c r="BF6" s="2" t="s">
        <v>113</v>
      </c>
      <c r="BG6" s="37">
        <v>0.1</v>
      </c>
      <c r="BH6" s="37">
        <f>4*SQRT(Hypothèses!D40)</f>
        <v>37.89459064299283</v>
      </c>
      <c r="BI6" s="37">
        <f t="shared" si="5"/>
        <v>3.789459064299283</v>
      </c>
      <c r="BJ6" s="2" t="s">
        <v>128</v>
      </c>
      <c r="BK6" s="37">
        <f>Hypothèses!B61</f>
        <v>1.08</v>
      </c>
      <c r="BL6" s="37">
        <f>Hypothèses!C61</f>
        <v>0</v>
      </c>
      <c r="BM6" s="37">
        <v>0.44</v>
      </c>
      <c r="BN6" s="37" t="b">
        <v>0</v>
      </c>
      <c r="BO6" s="37" t="b">
        <v>0</v>
      </c>
      <c r="BP6" s="37" t="b">
        <v>1</v>
      </c>
      <c r="BQ6" s="37" t="b">
        <v>0</v>
      </c>
      <c r="BU6" s="7" t="s">
        <v>125</v>
      </c>
      <c r="BV6" s="37">
        <f>BL7</f>
        <v>0</v>
      </c>
      <c r="BW6" s="37">
        <v>0.72</v>
      </c>
      <c r="BX6" s="37">
        <v>0.44</v>
      </c>
      <c r="BY6" s="37">
        <f>BV6*BW6*BX6</f>
        <v>0</v>
      </c>
      <c r="BZ6" s="7" t="s">
        <v>24</v>
      </c>
      <c r="CA6" s="37">
        <v>47</v>
      </c>
      <c r="CB6" s="37">
        <v>72</v>
      </c>
      <c r="CC6" s="37">
        <v>81</v>
      </c>
      <c r="CD6" s="37">
        <v>72</v>
      </c>
      <c r="CE6" s="7" t="s">
        <v>68</v>
      </c>
      <c r="CF6" s="43">
        <f t="shared" si="6"/>
        <v>0</v>
      </c>
      <c r="CG6" s="37">
        <f t="shared" si="7"/>
        <v>0</v>
      </c>
      <c r="CH6" s="43">
        <f t="shared" si="8"/>
        <v>0</v>
      </c>
      <c r="CI6" s="43">
        <f t="shared" si="9"/>
        <v>0</v>
      </c>
      <c r="CJ6" s="43">
        <f t="shared" si="10"/>
        <v>0</v>
      </c>
      <c r="CK6" s="7" t="s">
        <v>71</v>
      </c>
      <c r="CL6" s="46">
        <v>12</v>
      </c>
      <c r="CM6" s="7" t="s">
        <v>58</v>
      </c>
      <c r="CN6" s="47">
        <f>1.16*(Hypothèses!B$3*45)*('Base de données'!CP6-'Base de données'!CL6)*'Base de données'!CR6*'Base de données'!CT7/1000</f>
        <v>0</v>
      </c>
      <c r="CO6" s="7" t="s">
        <v>71</v>
      </c>
      <c r="CP6" s="46">
        <v>45</v>
      </c>
      <c r="CQ6" s="7" t="s">
        <v>71</v>
      </c>
      <c r="CR6" s="49">
        <v>1</v>
      </c>
      <c r="CS6" s="55" t="s">
        <v>68</v>
      </c>
      <c r="CT6" s="78">
        <v>30</v>
      </c>
      <c r="CU6" s="54">
        <v>280</v>
      </c>
    </row>
    <row r="7" spans="1:99" ht="25.5">
      <c r="A7" s="7"/>
      <c r="B7" s="13"/>
      <c r="C7" s="6"/>
      <c r="D7" s="14">
        <f t="shared" si="0"/>
        <v>0</v>
      </c>
      <c r="E7" s="7" t="s">
        <v>190</v>
      </c>
      <c r="F7" s="19">
        <v>2.58</v>
      </c>
      <c r="G7" s="20" t="b">
        <f>AND(Hypothèses!E4="PAC eau/eau",Hypothèses!E7="Liée au système de chauffage")</f>
        <v>0</v>
      </c>
      <c r="H7" s="21">
        <f t="shared" si="1"/>
        <v>0</v>
      </c>
      <c r="I7" s="7" t="s">
        <v>192</v>
      </c>
      <c r="J7" s="23">
        <v>0.75</v>
      </c>
      <c r="K7" s="6">
        <f>IF(Hypothèses!E4="Poele bois",1,0)</f>
        <v>0</v>
      </c>
      <c r="L7" s="14">
        <f t="shared" si="2"/>
        <v>0</v>
      </c>
      <c r="M7" s="7" t="s">
        <v>190</v>
      </c>
      <c r="N7" s="23">
        <v>1.77</v>
      </c>
      <c r="O7" s="20" t="b">
        <f>AND(Hypothèses!E4="PAC eau/eau",Hypothèses!E7="Liée au système de chauffage")</f>
        <v>0</v>
      </c>
      <c r="P7" s="14">
        <f t="shared" si="3"/>
        <v>0</v>
      </c>
      <c r="Q7" s="7" t="s">
        <v>190</v>
      </c>
      <c r="R7" s="23">
        <v>1.77</v>
      </c>
      <c r="S7" s="20" t="b">
        <f t="shared" si="11"/>
        <v>0</v>
      </c>
      <c r="T7" s="14">
        <f t="shared" si="4"/>
        <v>0</v>
      </c>
      <c r="U7" s="7" t="s">
        <v>191</v>
      </c>
      <c r="V7" s="25" t="e">
        <f>3.6*144/Hypothèses!$B$5</f>
        <v>#DIV/0!</v>
      </c>
      <c r="AD7" s="2">
        <v>5</v>
      </c>
      <c r="AE7" s="8">
        <f>IF(Hypothèses!$B$7="T5",1,0)</f>
        <v>0</v>
      </c>
      <c r="AF7" s="8">
        <v>45</v>
      </c>
      <c r="AG7" s="8">
        <v>135</v>
      </c>
      <c r="AH7" s="8">
        <v>30</v>
      </c>
      <c r="AI7" s="8">
        <v>15</v>
      </c>
      <c r="AJ7" s="8">
        <f>IF(AND(Hypothèses!$B$9&gt;1,Hypothèses!$B$7="T5"),Hypothèses!$B$9-1,0)</f>
        <v>0</v>
      </c>
      <c r="AK7" s="8">
        <v>30</v>
      </c>
      <c r="AL7" s="8">
        <f>IF(AND(Hypothèses!$B$8=1,Hypothèses!$B$7="T5"),1,0)</f>
        <v>0</v>
      </c>
      <c r="AM7" s="8">
        <v>15</v>
      </c>
      <c r="AN7" s="8">
        <f>IF(AND(Hypothèses!$B$8&gt;1,Hypothèses!$B$7="T5"),Hypothèses!$B$8,0)</f>
        <v>0</v>
      </c>
      <c r="AO7" s="8"/>
      <c r="AX7" s="7" t="s">
        <v>192</v>
      </c>
      <c r="AY7" s="23">
        <v>0</v>
      </c>
      <c r="AZ7" s="6">
        <f>IF(Hypothèses!E4="Poele bois",1,0)</f>
        <v>0</v>
      </c>
      <c r="BA7" s="14">
        <f>AY7*AZ7</f>
        <v>0</v>
      </c>
      <c r="BB7" s="7" t="s">
        <v>192</v>
      </c>
      <c r="BC7" s="23">
        <v>0</v>
      </c>
      <c r="BD7" s="6">
        <f>IF(Hypothèses!E4="Poele bois",1,0)</f>
        <v>0</v>
      </c>
      <c r="BE7" s="14">
        <f>BC7*BD7</f>
        <v>0</v>
      </c>
      <c r="BF7" s="2" t="s">
        <v>114</v>
      </c>
      <c r="BG7" s="37">
        <v>0.09</v>
      </c>
      <c r="BH7" s="37">
        <f>4*SQRT(Hypothèses!D40)</f>
        <v>37.89459064299283</v>
      </c>
      <c r="BI7" s="37">
        <f t="shared" si="5"/>
        <v>3.410513157869355</v>
      </c>
      <c r="BJ7" s="2" t="s">
        <v>129</v>
      </c>
      <c r="BK7" s="37">
        <f>Hypothèses!B62</f>
        <v>1.08</v>
      </c>
      <c r="BL7" s="37">
        <f>Hypothèses!C62</f>
        <v>0</v>
      </c>
      <c r="BM7" s="37">
        <v>0.44</v>
      </c>
      <c r="BN7" s="37" t="b">
        <v>0</v>
      </c>
      <c r="BO7" s="37" t="b">
        <v>0</v>
      </c>
      <c r="BP7" s="37" t="b">
        <v>0</v>
      </c>
      <c r="BQ7" s="37" t="b">
        <v>1</v>
      </c>
      <c r="BZ7" s="7" t="s">
        <v>58</v>
      </c>
      <c r="CA7" s="37">
        <v>63</v>
      </c>
      <c r="CB7" s="37">
        <v>96</v>
      </c>
      <c r="CC7" s="37">
        <v>90</v>
      </c>
      <c r="CD7" s="37">
        <v>96</v>
      </c>
      <c r="CE7" s="7" t="s">
        <v>58</v>
      </c>
      <c r="CF7" s="43">
        <f t="shared" si="6"/>
        <v>0</v>
      </c>
      <c r="CG7" s="37">
        <f t="shared" si="7"/>
        <v>0</v>
      </c>
      <c r="CH7" s="43">
        <f t="shared" si="8"/>
        <v>0</v>
      </c>
      <c r="CI7" s="43">
        <f t="shared" si="9"/>
        <v>0</v>
      </c>
      <c r="CJ7" s="43">
        <f t="shared" si="10"/>
        <v>0</v>
      </c>
      <c r="CK7" s="7" t="s">
        <v>59</v>
      </c>
      <c r="CL7" s="46">
        <v>14</v>
      </c>
      <c r="CM7" s="7" t="s">
        <v>59</v>
      </c>
      <c r="CN7" s="47">
        <f>1.16*(Hypothèses!B$3*45)*('Base de données'!CP7-'Base de données'!CL7)*'Base de données'!CR7*'Base de données'!CT8/1000</f>
        <v>0</v>
      </c>
      <c r="CO7" s="7" t="s">
        <v>59</v>
      </c>
      <c r="CP7" s="46">
        <v>45</v>
      </c>
      <c r="CQ7" s="7" t="s">
        <v>59</v>
      </c>
      <c r="CR7" s="49">
        <v>1</v>
      </c>
      <c r="CS7" s="55" t="s">
        <v>58</v>
      </c>
      <c r="CT7" s="78">
        <v>31</v>
      </c>
      <c r="CU7" s="54">
        <v>177</v>
      </c>
    </row>
    <row r="8" spans="1:99" ht="25.5">
      <c r="A8" s="7" t="s">
        <v>193</v>
      </c>
      <c r="B8" s="13">
        <v>0.6</v>
      </c>
      <c r="C8" s="6">
        <f>IF(Hypothèses!E4="Poele bois",1,0)+IF(Hypothèses!E4="Poele granulés",1,0)</f>
        <v>0</v>
      </c>
      <c r="D8" s="14">
        <f t="shared" si="0"/>
        <v>0</v>
      </c>
      <c r="E8" s="7" t="s">
        <v>27</v>
      </c>
      <c r="F8" s="19">
        <v>2.58</v>
      </c>
      <c r="G8" s="20" t="b">
        <f>AND(Hypothèses!E4="PAC eau/eau",Hypothèses!E7="Ballon solaire")</f>
        <v>0</v>
      </c>
      <c r="H8" s="21">
        <f t="shared" si="1"/>
        <v>0</v>
      </c>
      <c r="I8" s="7" t="s">
        <v>193</v>
      </c>
      <c r="J8" s="23">
        <v>0.85</v>
      </c>
      <c r="K8" s="6">
        <f>IF(Hypothèses!E4="Poele granulés",1,0)</f>
        <v>0</v>
      </c>
      <c r="L8" s="14">
        <f t="shared" si="2"/>
        <v>0</v>
      </c>
      <c r="M8" s="7" t="s">
        <v>27</v>
      </c>
      <c r="N8" s="23">
        <v>1</v>
      </c>
      <c r="O8" s="20" t="b">
        <f>AND(Hypothèses!E4="PAC eau/eau",Hypothèses!E7="Ballon solaire")</f>
        <v>0</v>
      </c>
      <c r="P8" s="14">
        <f t="shared" si="3"/>
        <v>0</v>
      </c>
      <c r="Q8" s="7" t="s">
        <v>27</v>
      </c>
      <c r="R8" s="23">
        <v>1</v>
      </c>
      <c r="S8" s="20" t="b">
        <f t="shared" si="11"/>
        <v>0</v>
      </c>
      <c r="T8" s="14">
        <f t="shared" si="4"/>
        <v>0</v>
      </c>
      <c r="U8" s="7" t="s">
        <v>162</v>
      </c>
      <c r="V8" s="25" t="e">
        <f>2.1*144/Hypothèses!$B$5</f>
        <v>#DIV/0!</v>
      </c>
      <c r="AD8" s="2">
        <v>6</v>
      </c>
      <c r="AE8" s="8">
        <f>IF(Hypothèses!$B$7="T6",1,0)</f>
        <v>0</v>
      </c>
      <c r="AF8" s="8">
        <v>45</v>
      </c>
      <c r="AG8" s="8">
        <v>135</v>
      </c>
      <c r="AH8" s="8">
        <v>30</v>
      </c>
      <c r="AI8" s="8">
        <v>15</v>
      </c>
      <c r="AJ8" s="8">
        <f>IF(AND(Hypothèses!$B$9&gt;1,Hypothèses!$B$7="T6"),Hypothèses!$B$9-1,0)</f>
        <v>0</v>
      </c>
      <c r="AK8" s="8">
        <v>30</v>
      </c>
      <c r="AL8" s="8">
        <f>IF(AND(Hypothèses!$B$8=1,Hypothèses!$B$7="T6"),1,0)</f>
        <v>0</v>
      </c>
      <c r="AM8" s="8">
        <v>15</v>
      </c>
      <c r="AN8" s="8">
        <f>IF(AND(Hypothèses!$B$8&gt;1,Hypothèses!$B$7="T6"),Hypothèses!$B$8,0)</f>
        <v>0</v>
      </c>
      <c r="AO8" s="8"/>
      <c r="AX8" s="7" t="s">
        <v>193</v>
      </c>
      <c r="AY8" s="23">
        <v>20</v>
      </c>
      <c r="AZ8" s="6">
        <f>IF(Hypothèses!E4="Poele granulés",1,0)</f>
        <v>0</v>
      </c>
      <c r="BA8" s="14"/>
      <c r="BB8" s="7" t="s">
        <v>193</v>
      </c>
      <c r="BC8" s="23">
        <v>20</v>
      </c>
      <c r="BD8" s="6">
        <f>IF(Hypothèses!E4="Poele granulés",1,0)</f>
        <v>0</v>
      </c>
      <c r="BE8" s="14"/>
      <c r="BF8" s="2" t="s">
        <v>115</v>
      </c>
      <c r="BG8" s="37">
        <v>0.05</v>
      </c>
      <c r="BH8" s="37">
        <f>4*SQRT(Hypothèses!D40)</f>
        <v>37.89459064299283</v>
      </c>
      <c r="BI8" s="37">
        <f t="shared" si="5"/>
        <v>1.8947295321496416</v>
      </c>
      <c r="BZ8" s="7" t="s">
        <v>59</v>
      </c>
      <c r="CA8" s="37">
        <v>69</v>
      </c>
      <c r="CB8" s="37">
        <v>99</v>
      </c>
      <c r="CC8" s="37">
        <v>85</v>
      </c>
      <c r="CD8" s="37">
        <v>99</v>
      </c>
      <c r="CE8" s="7" t="s">
        <v>59</v>
      </c>
      <c r="CF8" s="43">
        <f t="shared" si="6"/>
        <v>0</v>
      </c>
      <c r="CG8" s="37">
        <f t="shared" si="7"/>
        <v>0</v>
      </c>
      <c r="CH8" s="43">
        <f t="shared" si="8"/>
        <v>0</v>
      </c>
      <c r="CI8" s="43">
        <f t="shared" si="9"/>
        <v>0</v>
      </c>
      <c r="CJ8" s="43">
        <f t="shared" si="10"/>
        <v>0</v>
      </c>
      <c r="CK8" s="7" t="s">
        <v>60</v>
      </c>
      <c r="CL8" s="46">
        <v>15</v>
      </c>
      <c r="CM8" s="7" t="s">
        <v>60</v>
      </c>
      <c r="CN8" s="47">
        <f>1.16*(Hypothèses!B$3*45)*('Base de données'!CP8-'Base de données'!CL8)*'Base de données'!CR8*'Base de données'!CT9/1000</f>
        <v>0</v>
      </c>
      <c r="CO8" s="7" t="s">
        <v>60</v>
      </c>
      <c r="CP8" s="46">
        <v>45</v>
      </c>
      <c r="CQ8" s="7" t="s">
        <v>60</v>
      </c>
      <c r="CR8" s="49">
        <v>0.7</v>
      </c>
      <c r="CS8" s="55" t="s">
        <v>59</v>
      </c>
      <c r="CT8" s="78">
        <v>30</v>
      </c>
      <c r="CU8" s="54">
        <v>80</v>
      </c>
    </row>
    <row r="9" spans="1:99" ht="25.5">
      <c r="A9" s="7" t="s">
        <v>194</v>
      </c>
      <c r="B9" s="13">
        <v>2.58</v>
      </c>
      <c r="C9" s="6">
        <f>IF(Hypothèses!E4="Electrique",1,0)+IF(Hypothèses!E4="Chaudière électrique",1,0)</f>
        <v>0</v>
      </c>
      <c r="D9" s="14">
        <f t="shared" si="0"/>
        <v>0</v>
      </c>
      <c r="E9" s="7" t="s">
        <v>28</v>
      </c>
      <c r="F9" s="19">
        <v>2.58</v>
      </c>
      <c r="G9" s="6">
        <f>IF(Hypothèses!E7="Ballon électrique",1,0)</f>
        <v>0</v>
      </c>
      <c r="H9" s="21">
        <f t="shared" si="1"/>
        <v>0</v>
      </c>
      <c r="I9" s="7" t="s">
        <v>194</v>
      </c>
      <c r="J9" s="23">
        <v>1</v>
      </c>
      <c r="K9" s="6">
        <f>IF(OR(Hypothèses!E4="Electrique",Hypothèses!E4="Chaudière électrique"),1,0)</f>
        <v>0</v>
      </c>
      <c r="L9" s="14">
        <f t="shared" si="2"/>
        <v>0</v>
      </c>
      <c r="M9" s="7" t="s">
        <v>28</v>
      </c>
      <c r="N9" s="23">
        <v>0.8</v>
      </c>
      <c r="O9" s="6">
        <f>IF(Hypothèses!E7="Ballon électrique",1,0)</f>
        <v>0</v>
      </c>
      <c r="P9" s="14">
        <f t="shared" si="3"/>
        <v>0</v>
      </c>
      <c r="Q9" s="7" t="s">
        <v>28</v>
      </c>
      <c r="R9" s="23">
        <v>0.8</v>
      </c>
      <c r="S9" s="20">
        <f t="shared" si="11"/>
        <v>0</v>
      </c>
      <c r="T9" s="14">
        <f t="shared" si="4"/>
        <v>0</v>
      </c>
      <c r="U9" s="7" t="s">
        <v>194</v>
      </c>
      <c r="V9" s="25" t="e">
        <f>1.9*144/Hypothèses!$B$5</f>
        <v>#DIV/0!</v>
      </c>
      <c r="AD9" s="2" t="s">
        <v>180</v>
      </c>
      <c r="AE9" s="8">
        <f>IF(Hypothèses!$B$7="&gt; T7",1,0)</f>
        <v>0</v>
      </c>
      <c r="AF9" s="8">
        <v>45</v>
      </c>
      <c r="AG9" s="8">
        <v>135</v>
      </c>
      <c r="AH9" s="8">
        <v>30</v>
      </c>
      <c r="AI9" s="8">
        <v>15</v>
      </c>
      <c r="AJ9" s="8">
        <f>IF(AND(Hypothèses!$B$9&gt;1,Hypothèses!$B$7="&gt; T7"),Hypothèses!$B$9-1,0)</f>
        <v>0</v>
      </c>
      <c r="AK9" s="8">
        <v>30</v>
      </c>
      <c r="AL9" s="8">
        <f>IF(AND(Hypothèses!$B$8=1,Hypothèses!$B$7="&gt; T7"),1,0)</f>
        <v>0</v>
      </c>
      <c r="AM9" s="8">
        <v>15</v>
      </c>
      <c r="AN9" s="8">
        <f>IF(AND(Hypothèses!$B$8&gt;1,Hypothèses!$B$7="&gt; T7"),Hypothèses!$B$8,0)</f>
        <v>0</v>
      </c>
      <c r="AO9" s="8"/>
      <c r="AX9" s="7" t="s">
        <v>194</v>
      </c>
      <c r="AY9" s="23">
        <v>0</v>
      </c>
      <c r="AZ9" s="6">
        <f>IF(OR(Hypothèses!E4="Electrique",Hypothèses!E4="Chaudière électrique"),1,0)</f>
        <v>0</v>
      </c>
      <c r="BA9" s="14">
        <f>AY9*AZ9</f>
        <v>0</v>
      </c>
      <c r="BB9" s="7" t="s">
        <v>194</v>
      </c>
      <c r="BC9" s="23">
        <v>0</v>
      </c>
      <c r="BD9" s="6">
        <f>IF(OR(Hypothèses!E4="Electrique",Hypothèses!E4="Chaudière électrique"),1,0)</f>
        <v>0</v>
      </c>
      <c r="BE9" s="14">
        <f>BC9*BD9</f>
        <v>0</v>
      </c>
      <c r="BF9" s="2" t="s">
        <v>116</v>
      </c>
      <c r="BG9" s="37">
        <v>0.13</v>
      </c>
      <c r="BH9" s="37">
        <f>SQRT(SUM(Hypothèses!C59:C62))</f>
        <v>0</v>
      </c>
      <c r="BI9" s="37">
        <f t="shared" si="5"/>
        <v>0</v>
      </c>
      <c r="BZ9" s="7" t="s">
        <v>60</v>
      </c>
      <c r="CA9" s="37">
        <v>67</v>
      </c>
      <c r="CB9" s="37">
        <v>98</v>
      </c>
      <c r="CC9" s="37">
        <v>87</v>
      </c>
      <c r="CD9" s="37">
        <v>98</v>
      </c>
      <c r="CE9" s="7" t="s">
        <v>60</v>
      </c>
      <c r="CF9" s="43">
        <f t="shared" si="6"/>
        <v>0</v>
      </c>
      <c r="CG9" s="37">
        <f t="shared" si="7"/>
        <v>0</v>
      </c>
      <c r="CH9" s="43">
        <f t="shared" si="8"/>
        <v>0</v>
      </c>
      <c r="CI9" s="43">
        <f t="shared" si="9"/>
        <v>0</v>
      </c>
      <c r="CJ9" s="43">
        <f t="shared" si="10"/>
        <v>0</v>
      </c>
      <c r="CK9" s="7" t="s">
        <v>61</v>
      </c>
      <c r="CL9" s="46">
        <v>14</v>
      </c>
      <c r="CM9" s="7" t="s">
        <v>61</v>
      </c>
      <c r="CN9" s="47">
        <f>1.16*(Hypothèses!B$3*45)*('Base de données'!CP9-'Base de données'!CL9)*'Base de données'!CR9*'Base de données'!CT10/1000</f>
        <v>0</v>
      </c>
      <c r="CO9" s="7" t="s">
        <v>61</v>
      </c>
      <c r="CP9" s="46">
        <v>45</v>
      </c>
      <c r="CQ9" s="7" t="s">
        <v>61</v>
      </c>
      <c r="CR9" s="49">
        <v>0.7</v>
      </c>
      <c r="CS9" s="55" t="s">
        <v>60</v>
      </c>
      <c r="CT9" s="78">
        <v>31</v>
      </c>
      <c r="CU9" s="54">
        <v>29</v>
      </c>
    </row>
    <row r="10" spans="1:99" ht="19.5">
      <c r="A10" s="7"/>
      <c r="B10" s="13"/>
      <c r="C10" s="13"/>
      <c r="D10" s="15">
        <f>SUM(D3:D9)</f>
        <v>1</v>
      </c>
      <c r="E10" s="7" t="s">
        <v>29</v>
      </c>
      <c r="F10" s="19">
        <v>0.6</v>
      </c>
      <c r="G10" s="20" t="b">
        <f>AND(Hypothèses!E4="Electrique",Hypothèses!E7="Ballon solaire")</f>
        <v>0</v>
      </c>
      <c r="H10" s="21">
        <f t="shared" si="1"/>
        <v>0</v>
      </c>
      <c r="I10" s="7"/>
      <c r="J10" s="13"/>
      <c r="K10" s="13"/>
      <c r="L10" s="15">
        <f>SUM(L3:L9)</f>
        <v>1.09</v>
      </c>
      <c r="M10" s="7" t="s">
        <v>29</v>
      </c>
      <c r="N10" s="23">
        <v>1</v>
      </c>
      <c r="O10" s="20" t="b">
        <f>AND(Hypothèses!E4="Electrique",Hypothèses!E7="Ballon solaire")</f>
        <v>0</v>
      </c>
      <c r="P10" s="14">
        <f t="shared" si="3"/>
        <v>0</v>
      </c>
      <c r="Q10" s="7" t="s">
        <v>29</v>
      </c>
      <c r="R10" s="23">
        <v>1</v>
      </c>
      <c r="S10" s="20" t="b">
        <f t="shared" si="11"/>
        <v>0</v>
      </c>
      <c r="T10" s="14">
        <f t="shared" si="4"/>
        <v>0</v>
      </c>
      <c r="U10" s="7"/>
      <c r="V10" s="13"/>
      <c r="AD10" s="2" t="s">
        <v>181</v>
      </c>
      <c r="AE10" s="8"/>
      <c r="AF10" s="8">
        <f>SUMPRODUCT(AE3:AE9,AF3:AF9)</f>
        <v>0</v>
      </c>
      <c r="AG10" s="8"/>
      <c r="AH10" s="8">
        <f>SUMPRODUCT(AE3:AE9,AH3:AH9)</f>
        <v>0</v>
      </c>
      <c r="AI10" s="8">
        <f>SUMPRODUCT($G$3:$G$9,$F$3:$F$9)</f>
        <v>0</v>
      </c>
      <c r="AJ10" s="8"/>
      <c r="AK10" s="8">
        <f>SUMPRODUCT(AK3:AK9,AL3:AL9)</f>
        <v>0</v>
      </c>
      <c r="AL10" s="8"/>
      <c r="AM10" s="8">
        <f>SUMPRODUCT(AM3:AM9,AN3:AN9)</f>
        <v>0</v>
      </c>
      <c r="AN10" s="2" t="s">
        <v>181</v>
      </c>
      <c r="AO10" s="16">
        <f>SUM(AE10:AN10)</f>
        <v>0</v>
      </c>
      <c r="AX10" s="7"/>
      <c r="AY10" s="13"/>
      <c r="AZ10" s="13"/>
      <c r="BA10" s="15">
        <f>SUM(BA3:BA9)</f>
        <v>120</v>
      </c>
      <c r="BB10" s="7"/>
      <c r="BC10" s="13"/>
      <c r="BD10" s="13"/>
      <c r="BE10" s="15">
        <f>SUM(BE3:BE9)</f>
        <v>120</v>
      </c>
      <c r="BF10" s="2"/>
      <c r="BG10" s="37"/>
      <c r="BH10" s="37"/>
      <c r="BI10" s="37"/>
      <c r="BZ10" s="7" t="s">
        <v>61</v>
      </c>
      <c r="CA10" s="37">
        <v>55</v>
      </c>
      <c r="CB10" s="37">
        <v>88</v>
      </c>
      <c r="CC10" s="37">
        <v>91</v>
      </c>
      <c r="CD10" s="37">
        <v>88</v>
      </c>
      <c r="CE10" s="7" t="s">
        <v>61</v>
      </c>
      <c r="CF10" s="43">
        <f t="shared" si="6"/>
        <v>0</v>
      </c>
      <c r="CG10" s="37">
        <f t="shared" si="7"/>
        <v>0</v>
      </c>
      <c r="CH10" s="43">
        <f t="shared" si="8"/>
        <v>0</v>
      </c>
      <c r="CI10" s="43">
        <f t="shared" si="9"/>
        <v>0</v>
      </c>
      <c r="CJ10" s="43">
        <f t="shared" si="10"/>
        <v>0</v>
      </c>
      <c r="CK10" s="7" t="s">
        <v>62</v>
      </c>
      <c r="CL10" s="46">
        <v>13</v>
      </c>
      <c r="CM10" s="7" t="s">
        <v>62</v>
      </c>
      <c r="CN10" s="47">
        <f>1.16*(Hypothèses!B$3*45)*('Base de données'!CP10-'Base de données'!CL10)*'Base de données'!CR10*'Base de données'!CT11/1000</f>
        <v>0</v>
      </c>
      <c r="CO10" s="7" t="s">
        <v>62</v>
      </c>
      <c r="CP10" s="46">
        <v>55</v>
      </c>
      <c r="CQ10" s="7" t="s">
        <v>62</v>
      </c>
      <c r="CR10" s="49">
        <v>1</v>
      </c>
      <c r="CS10" s="55" t="s">
        <v>61</v>
      </c>
      <c r="CT10" s="78">
        <v>31</v>
      </c>
      <c r="CU10" s="54">
        <v>33</v>
      </c>
    </row>
    <row r="11" spans="5:99" ht="19.5" customHeight="1">
      <c r="E11" s="7" t="s">
        <v>191</v>
      </c>
      <c r="F11" s="19">
        <v>0.6</v>
      </c>
      <c r="G11" s="20" t="b">
        <f>AND(Hypothèses!E4="Chaudière granulés",Hypothèses!E7="Liée au système de chauffage")</f>
        <v>0</v>
      </c>
      <c r="H11" s="21">
        <f t="shared" si="1"/>
        <v>0</v>
      </c>
      <c r="M11" s="7" t="s">
        <v>191</v>
      </c>
      <c r="N11" s="23">
        <v>0.9</v>
      </c>
      <c r="O11" s="20" t="b">
        <f>AND(Hypothèses!E4="Chaudière granulés",Hypothèses!E7="Liée au système de chauffage")</f>
        <v>0</v>
      </c>
      <c r="P11" s="14">
        <f t="shared" si="3"/>
        <v>0</v>
      </c>
      <c r="Q11" s="7" t="s">
        <v>191</v>
      </c>
      <c r="R11" s="23">
        <v>0.8</v>
      </c>
      <c r="S11" s="20" t="b">
        <f t="shared" si="11"/>
        <v>0</v>
      </c>
      <c r="T11" s="14">
        <f t="shared" si="4"/>
        <v>0</v>
      </c>
      <c r="AD11" s="2" t="s">
        <v>182</v>
      </c>
      <c r="AE11" s="8"/>
      <c r="AF11" s="8"/>
      <c r="AG11" s="8">
        <f>SUMPRODUCT(AE3:AE9,AG3:AG9)</f>
        <v>0</v>
      </c>
      <c r="AH11" s="8">
        <f>SUMPRODUCT(AE3:AE9,AH3:AH9)</f>
        <v>0</v>
      </c>
      <c r="AI11" s="8">
        <f>SUMPRODUCT($G$3:$G$9,$F$3:$F$9)</f>
        <v>0</v>
      </c>
      <c r="AJ11" s="8"/>
      <c r="AK11" s="8">
        <f>SUMPRODUCT(AK3:AK9,AL3:AL9)</f>
        <v>0</v>
      </c>
      <c r="AL11" s="8"/>
      <c r="AM11" s="8">
        <f>SUMPRODUCT(AM3:AM9,AN3:AN9)</f>
        <v>0</v>
      </c>
      <c r="AN11" s="2" t="s">
        <v>182</v>
      </c>
      <c r="AO11" s="16">
        <f>SUM(AE11:AN11)</f>
        <v>0</v>
      </c>
      <c r="BF11" s="2"/>
      <c r="BG11" s="37"/>
      <c r="BH11" s="37"/>
      <c r="BI11" s="37"/>
      <c r="BZ11" s="7" t="s">
        <v>62</v>
      </c>
      <c r="CA11" s="37">
        <v>39</v>
      </c>
      <c r="CB11" s="37">
        <v>70</v>
      </c>
      <c r="CC11" s="37">
        <v>95</v>
      </c>
      <c r="CD11" s="37">
        <v>70</v>
      </c>
      <c r="CE11" s="7" t="s">
        <v>62</v>
      </c>
      <c r="CF11" s="43">
        <f t="shared" si="6"/>
        <v>0</v>
      </c>
      <c r="CG11" s="37">
        <f t="shared" si="7"/>
        <v>0</v>
      </c>
      <c r="CH11" s="43">
        <f t="shared" si="8"/>
        <v>0</v>
      </c>
      <c r="CI11" s="43">
        <f t="shared" si="9"/>
        <v>0</v>
      </c>
      <c r="CJ11" s="43">
        <f t="shared" si="10"/>
        <v>0</v>
      </c>
      <c r="CK11" s="7" t="s">
        <v>63</v>
      </c>
      <c r="CL11" s="46">
        <v>11</v>
      </c>
      <c r="CM11" s="7" t="s">
        <v>63</v>
      </c>
      <c r="CN11" s="47">
        <f>1.16*(Hypothèses!B$3*45)*('Base de données'!CP11-'Base de données'!CL11)*'Base de données'!CR11*'Base de données'!CT12/1000</f>
        <v>0</v>
      </c>
      <c r="CO11" s="7" t="s">
        <v>63</v>
      </c>
      <c r="CP11" s="46">
        <v>55</v>
      </c>
      <c r="CQ11" s="7" t="s">
        <v>63</v>
      </c>
      <c r="CR11" s="49">
        <v>1</v>
      </c>
      <c r="CS11" s="55" t="s">
        <v>62</v>
      </c>
      <c r="CT11" s="78">
        <v>30</v>
      </c>
      <c r="CU11" s="54">
        <v>105</v>
      </c>
    </row>
    <row r="12" spans="5:99" ht="19.5" customHeight="1">
      <c r="E12" s="7" t="s">
        <v>30</v>
      </c>
      <c r="F12" s="19">
        <v>2.58</v>
      </c>
      <c r="G12" s="20" t="b">
        <f>AND(Hypothèses!E4="Chaudière granulés",Hypothèses!E7="Ballon solaire")</f>
        <v>0</v>
      </c>
      <c r="H12" s="21">
        <f t="shared" si="1"/>
        <v>0</v>
      </c>
      <c r="M12" s="7" t="s">
        <v>30</v>
      </c>
      <c r="N12" s="23">
        <v>0.8</v>
      </c>
      <c r="O12" s="20" t="b">
        <f>AND(Hypothèses!E4="Chaudière granulés",Hypothèses!E7="Ballon solaire")</f>
        <v>0</v>
      </c>
      <c r="P12" s="14">
        <f t="shared" si="3"/>
        <v>0</v>
      </c>
      <c r="Q12" s="7" t="s">
        <v>30</v>
      </c>
      <c r="R12" s="23">
        <v>0.8</v>
      </c>
      <c r="S12" s="20" t="b">
        <f t="shared" si="11"/>
        <v>0</v>
      </c>
      <c r="T12" s="14">
        <f t="shared" si="4"/>
        <v>0</v>
      </c>
      <c r="BF12" s="2"/>
      <c r="BG12" s="37"/>
      <c r="BH12" s="37" t="s">
        <v>169</v>
      </c>
      <c r="BI12" s="37">
        <f>SUM(BI3:BI11)</f>
        <v>11.09470175431828</v>
      </c>
      <c r="BZ12" s="7" t="s">
        <v>63</v>
      </c>
      <c r="CA12" s="37">
        <v>27</v>
      </c>
      <c r="CB12" s="37">
        <v>49</v>
      </c>
      <c r="CC12" s="37">
        <v>89</v>
      </c>
      <c r="CD12" s="37">
        <v>49</v>
      </c>
      <c r="CE12" s="7" t="s">
        <v>63</v>
      </c>
      <c r="CF12" s="43">
        <f t="shared" si="6"/>
        <v>0</v>
      </c>
      <c r="CG12" s="37">
        <f t="shared" si="7"/>
        <v>0</v>
      </c>
      <c r="CH12" s="43">
        <f t="shared" si="8"/>
        <v>0</v>
      </c>
      <c r="CI12" s="43">
        <f t="shared" si="9"/>
        <v>0</v>
      </c>
      <c r="CJ12" s="43">
        <f t="shared" si="10"/>
        <v>0</v>
      </c>
      <c r="CK12" s="7" t="s">
        <v>64</v>
      </c>
      <c r="CL12" s="46">
        <v>8.1</v>
      </c>
      <c r="CM12" s="7" t="s">
        <v>64</v>
      </c>
      <c r="CN12" s="47">
        <f>1.16*(Hypothèses!B$3*45)*('Base de données'!CP12-'Base de données'!CL12)*'Base de données'!CR12*'Base de données'!CT13/1000</f>
        <v>0</v>
      </c>
      <c r="CO12" s="7" t="s">
        <v>64</v>
      </c>
      <c r="CP12" s="46">
        <v>55</v>
      </c>
      <c r="CQ12" s="7" t="s">
        <v>64</v>
      </c>
      <c r="CR12" s="49">
        <v>1</v>
      </c>
      <c r="CS12" s="55" t="s">
        <v>63</v>
      </c>
      <c r="CT12" s="78">
        <v>31</v>
      </c>
      <c r="CU12" s="54">
        <v>252</v>
      </c>
    </row>
    <row r="13" spans="5:99" ht="19.5" customHeight="1">
      <c r="E13" s="7" t="s">
        <v>31</v>
      </c>
      <c r="F13" s="19">
        <v>2.58</v>
      </c>
      <c r="G13" s="6">
        <f>IF(Hypothèses!E7="Ballon thermodynamique",1,0)</f>
        <v>0</v>
      </c>
      <c r="H13" s="21">
        <f t="shared" si="1"/>
        <v>0</v>
      </c>
      <c r="M13" s="7" t="s">
        <v>31</v>
      </c>
      <c r="N13" s="23">
        <v>2.4</v>
      </c>
      <c r="O13" s="6">
        <f>IF(Hypothèses!E7="Ballon thermodynamique",1,0)</f>
        <v>0</v>
      </c>
      <c r="P13" s="14">
        <f t="shared" si="3"/>
        <v>0</v>
      </c>
      <c r="Q13" s="7" t="s">
        <v>31</v>
      </c>
      <c r="R13" s="23">
        <v>2.4</v>
      </c>
      <c r="S13" s="20">
        <f t="shared" si="11"/>
        <v>0</v>
      </c>
      <c r="T13" s="14">
        <f t="shared" si="4"/>
        <v>0</v>
      </c>
      <c r="BZ13" s="7" t="s">
        <v>64</v>
      </c>
      <c r="CA13" s="37">
        <v>15</v>
      </c>
      <c r="CB13" s="37">
        <v>22</v>
      </c>
      <c r="CC13" s="37">
        <v>42</v>
      </c>
      <c r="CD13" s="37">
        <v>22</v>
      </c>
      <c r="CE13" s="7" t="s">
        <v>64</v>
      </c>
      <c r="CF13" s="43">
        <f t="shared" si="6"/>
        <v>0</v>
      </c>
      <c r="CG13" s="37">
        <f t="shared" si="7"/>
        <v>0</v>
      </c>
      <c r="CH13" s="43">
        <f t="shared" si="8"/>
        <v>0</v>
      </c>
      <c r="CI13" s="43">
        <f t="shared" si="9"/>
        <v>0</v>
      </c>
      <c r="CJ13" s="43">
        <f t="shared" si="10"/>
        <v>0</v>
      </c>
      <c r="CK13" s="7" t="s">
        <v>65</v>
      </c>
      <c r="CL13" s="46">
        <v>6.2</v>
      </c>
      <c r="CM13" s="7" t="s">
        <v>65</v>
      </c>
      <c r="CN13" s="47">
        <f>1.16*(Hypothèses!B$3*45)*('Base de données'!CP13-'Base de données'!CL13)*'Base de données'!CR13*'Base de données'!CT14/1000</f>
        <v>0</v>
      </c>
      <c r="CO13" s="7" t="s">
        <v>65</v>
      </c>
      <c r="CP13" s="46">
        <v>55</v>
      </c>
      <c r="CQ13" s="7" t="s">
        <v>65</v>
      </c>
      <c r="CR13" s="49">
        <v>1</v>
      </c>
      <c r="CS13" s="52" t="s">
        <v>64</v>
      </c>
      <c r="CT13" s="78">
        <v>30</v>
      </c>
      <c r="CU13" s="54">
        <v>406</v>
      </c>
    </row>
    <row r="14" spans="5:99" ht="33.75" customHeight="1">
      <c r="E14" s="7" t="s">
        <v>32</v>
      </c>
      <c r="F14" s="19">
        <v>2.58</v>
      </c>
      <c r="G14" s="20" t="b">
        <f>AND(OR(Hypothèses!E4="Poele granulés",Hypothèses!E4="Poele bois"),Hypothèses!E7="Ballon solaire")</f>
        <v>0</v>
      </c>
      <c r="H14" s="21">
        <f t="shared" si="1"/>
        <v>0</v>
      </c>
      <c r="M14" s="7" t="s">
        <v>32</v>
      </c>
      <c r="N14" s="24">
        <v>1</v>
      </c>
      <c r="O14" s="20" t="b">
        <f>AND(OR(Hypothèses!E4="Poele granulés",Hypothèses!E4="Poele bois"),Hypothèses!E7="Ballon solaire")</f>
        <v>0</v>
      </c>
      <c r="P14" s="21">
        <f t="shared" si="3"/>
        <v>0</v>
      </c>
      <c r="Q14" s="7" t="s">
        <v>32</v>
      </c>
      <c r="R14" s="24">
        <v>1</v>
      </c>
      <c r="S14" s="20" t="b">
        <f t="shared" si="11"/>
        <v>0</v>
      </c>
      <c r="T14" s="21">
        <f t="shared" si="4"/>
        <v>0</v>
      </c>
      <c r="BZ14" s="7" t="s">
        <v>65</v>
      </c>
      <c r="CA14" s="37">
        <v>12</v>
      </c>
      <c r="CB14" s="37">
        <v>19</v>
      </c>
      <c r="CC14" s="37">
        <v>43</v>
      </c>
      <c r="CD14" s="37">
        <v>19</v>
      </c>
      <c r="CE14" s="7" t="s">
        <v>69</v>
      </c>
      <c r="CF14" s="43">
        <f t="shared" si="6"/>
        <v>0</v>
      </c>
      <c r="CG14" s="37">
        <f t="shared" si="7"/>
        <v>0</v>
      </c>
      <c r="CH14" s="43">
        <f t="shared" si="8"/>
        <v>0</v>
      </c>
      <c r="CI14" s="43">
        <f t="shared" si="9"/>
        <v>0</v>
      </c>
      <c r="CJ14" s="43">
        <f t="shared" si="10"/>
        <v>0</v>
      </c>
      <c r="CM14" s="7" t="s">
        <v>169</v>
      </c>
      <c r="CN14" s="47">
        <f>SUM(CN2:CN13)</f>
        <v>0</v>
      </c>
      <c r="CS14" s="52" t="s">
        <v>65</v>
      </c>
      <c r="CT14" s="78">
        <v>31</v>
      </c>
      <c r="CU14" s="54">
        <v>518</v>
      </c>
    </row>
    <row r="15" spans="5:99" ht="19.5" customHeight="1">
      <c r="E15" s="17"/>
      <c r="F15" s="19"/>
      <c r="G15" s="19"/>
      <c r="H15" s="22">
        <f>SUM(H3:H14)</f>
        <v>1</v>
      </c>
      <c r="M15" s="7"/>
      <c r="N15" s="13"/>
      <c r="O15" s="13"/>
      <c r="P15" s="15">
        <f>SUM(P3:P14)</f>
        <v>0.8</v>
      </c>
      <c r="Q15" s="7"/>
      <c r="R15" s="13"/>
      <c r="S15" s="13"/>
      <c r="T15" s="15">
        <f>SUM(T3:T14)</f>
        <v>0.6</v>
      </c>
      <c r="CE15" s="7"/>
      <c r="CF15" s="44"/>
      <c r="CG15" s="37"/>
      <c r="CH15" s="37"/>
      <c r="CI15" s="37"/>
      <c r="CJ15" s="37">
        <f>SUM(CJ3:CJ14)</f>
        <v>0</v>
      </c>
      <c r="CS15" s="52" t="s">
        <v>76</v>
      </c>
      <c r="CT15" s="78">
        <f>SUM(CT3:CT14)</f>
        <v>365</v>
      </c>
      <c r="CU15" s="56">
        <f>SUM(CU3:CU14)</f>
        <v>3254</v>
      </c>
    </row>
  </sheetData>
  <sheetProtection/>
  <mergeCells count="27">
    <mergeCell ref="CS1:CU1"/>
    <mergeCell ref="CV1:CW1"/>
    <mergeCell ref="CX1:CY1"/>
    <mergeCell ref="BZ1:CD1"/>
    <mergeCell ref="CE1:CJ1"/>
    <mergeCell ref="CK1:CL1"/>
    <mergeCell ref="CM1:CN1"/>
    <mergeCell ref="CO1:CP1"/>
    <mergeCell ref="CQ1:CR1"/>
    <mergeCell ref="BB1:BE1"/>
    <mergeCell ref="BF1:BI1"/>
    <mergeCell ref="BJ1:BQ1"/>
    <mergeCell ref="BN2:BQ2"/>
    <mergeCell ref="BR1:BT1"/>
    <mergeCell ref="BU1:BY1"/>
    <mergeCell ref="W1:Z1"/>
    <mergeCell ref="AA1:AC1"/>
    <mergeCell ref="AD1:AO1"/>
    <mergeCell ref="AP1:AS1"/>
    <mergeCell ref="AT1:AW1"/>
    <mergeCell ref="AX1:BA1"/>
    <mergeCell ref="A1:D1"/>
    <mergeCell ref="E1:H1"/>
    <mergeCell ref="I1:L1"/>
    <mergeCell ref="M1:P1"/>
    <mergeCell ref="Q1:T1"/>
    <mergeCell ref="U1:V1"/>
  </mergeCells>
  <printOptions/>
  <pageMargins left="0.787401575" right="0.787401575" top="0.984251969" bottom="0.984251969" header="0.4921259880065918" footer="0.4921259880065918"/>
  <pageSetup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zoomScalePageLayoutView="0" workbookViewId="0" topLeftCell="A1">
      <selection activeCell="D22" sqref="D22"/>
    </sheetView>
  </sheetViews>
  <sheetFormatPr defaultColWidth="10.296875" defaultRowHeight="19.5" customHeight="1"/>
  <cols>
    <col min="1" max="1" width="21.3984375" style="1" customWidth="1"/>
    <col min="2" max="2" width="12.69921875" style="1" customWidth="1"/>
    <col min="3" max="3" width="13.3984375" style="1" customWidth="1"/>
    <col min="4" max="4" width="13" style="1" customWidth="1"/>
    <col min="5" max="16384" width="10.19921875" style="1" customWidth="1"/>
  </cols>
  <sheetData>
    <row r="1" spans="1:4" ht="15.75">
      <c r="A1" s="86" t="s">
        <v>42</v>
      </c>
      <c r="B1" s="87"/>
      <c r="C1" s="87"/>
      <c r="D1" s="87"/>
    </row>
    <row r="2" spans="1:4" ht="12.75">
      <c r="A2" s="17"/>
      <c r="B2" s="7" t="s">
        <v>43</v>
      </c>
      <c r="C2" s="7" t="s">
        <v>120</v>
      </c>
      <c r="D2" s="7" t="s">
        <v>44</v>
      </c>
    </row>
    <row r="3" spans="1:4" ht="18.75" customHeight="1">
      <c r="A3" s="11" t="s">
        <v>45</v>
      </c>
      <c r="B3" s="38">
        <f>Hypothèses!D25</f>
        <v>5.88235294117647</v>
      </c>
      <c r="C3" s="19">
        <f>Hypothèses!D26-C4-C5-C6</f>
        <v>163.8</v>
      </c>
      <c r="D3" s="39">
        <f>B3*C3*(Hypothèses!B$11-Hypothèses!B$13)</f>
        <v>14452.941176470587</v>
      </c>
    </row>
    <row r="4" spans="1:4" ht="18.75" customHeight="1">
      <c r="A4" s="11" t="s">
        <v>46</v>
      </c>
      <c r="B4" s="19" t="e">
        <f>(Hypothèses!B$59*Hypothèses!C$59+Hypothèses!B$60*Hypothèses!C$60+Hypothèses!B$61*Hypothèses!C$61+Hypothèses!B$62*Hypothèses!C$62)/C4</f>
        <v>#DIV/0!</v>
      </c>
      <c r="C4" s="19">
        <f>SUM(Hypothèses!C$59:C$62)</f>
        <v>0</v>
      </c>
      <c r="D4" s="39" t="e">
        <f>B4*C4*(Hypothèses!B$11-Hypothèses!B$13)</f>
        <v>#DIV/0!</v>
      </c>
    </row>
    <row r="5" spans="1:4" ht="18.75" customHeight="1">
      <c r="A5" s="11" t="s">
        <v>47</v>
      </c>
      <c r="B5" s="38">
        <f>0.47</f>
        <v>0.47</v>
      </c>
      <c r="C5" s="19">
        <f>'Base de données'!BH9</f>
        <v>0</v>
      </c>
      <c r="D5" s="39">
        <f>B5*C5*(Hypothèses!B$11-Hypothèses!B$13)</f>
        <v>0</v>
      </c>
    </row>
    <row r="6" spans="1:4" ht="18.75" customHeight="1">
      <c r="A6" s="11" t="s">
        <v>48</v>
      </c>
      <c r="B6" s="38">
        <f>1.8</f>
        <v>1.8</v>
      </c>
      <c r="C6" s="19">
        <f>'Base de données'!BT3+'Base de données'!BT4</f>
        <v>5.17</v>
      </c>
      <c r="D6" s="39">
        <f>B6*C6*(Hypothèses!B$11-Hypothèses!B$13)</f>
        <v>139.59</v>
      </c>
    </row>
    <row r="7" spans="1:4" ht="18.75" customHeight="1">
      <c r="A7" s="11" t="s">
        <v>115</v>
      </c>
      <c r="B7" s="38">
        <f>Hypothèses!D53</f>
        <v>0.07490695767362644</v>
      </c>
      <c r="C7" s="19">
        <f>Hypothèses!D54</f>
        <v>83.8</v>
      </c>
      <c r="D7" s="39">
        <f>B7*C7*(Hypothèses!B$11-Hypothèses!B$13)</f>
        <v>94.15804579574842</v>
      </c>
    </row>
    <row r="8" spans="1:4" ht="18.75" customHeight="1">
      <c r="A8" s="11" t="s">
        <v>113</v>
      </c>
      <c r="B8" s="38">
        <f>Hypothèses!D39</f>
        <v>0.2145319882518197</v>
      </c>
      <c r="C8" s="19">
        <f>Hypothèses!D40</f>
        <v>89.75</v>
      </c>
      <c r="D8" s="39">
        <f>B8*C8*(Hypothèses!B$11-Hypothèses!B$13)</f>
        <v>288.8136891840123</v>
      </c>
    </row>
    <row r="9" spans="1:4" ht="12.75">
      <c r="A9" s="9"/>
      <c r="B9" s="8"/>
      <c r="C9" s="8"/>
      <c r="D9" s="8"/>
    </row>
    <row r="10" spans="1:4" ht="17.25" customHeight="1">
      <c r="A10" s="17"/>
      <c r="B10" s="40" t="s">
        <v>49</v>
      </c>
      <c r="C10" s="40" t="s">
        <v>50</v>
      </c>
      <c r="D10" s="40" t="s">
        <v>51</v>
      </c>
    </row>
    <row r="11" spans="1:4" ht="18.75" customHeight="1">
      <c r="A11" s="11" t="s">
        <v>52</v>
      </c>
      <c r="B11" s="19">
        <f>IF(Hypothèses!E3="Simple flux",0.9)+IF(Hypothèses!E3="Double flux",0.2)</f>
        <v>0.2</v>
      </c>
      <c r="C11" s="19">
        <f>'Base de données'!AO11</f>
        <v>0</v>
      </c>
      <c r="D11" s="39">
        <f>0.34*B11*C11*(Hypothèses!$B$11-Hypothèses!$B$13)</f>
        <v>0</v>
      </c>
    </row>
    <row r="12" spans="1:4" ht="12.75">
      <c r="A12" s="9"/>
      <c r="B12" s="40" t="s">
        <v>53</v>
      </c>
      <c r="C12" s="40" t="s">
        <v>120</v>
      </c>
      <c r="D12" s="40" t="s">
        <v>54</v>
      </c>
    </row>
    <row r="13" spans="1:4" ht="18.75" customHeight="1">
      <c r="A13" s="11" t="s">
        <v>95</v>
      </c>
      <c r="B13" s="19">
        <f>Hypothèses!B6</f>
        <v>0</v>
      </c>
      <c r="C13" s="19">
        <f>C3+C7-C4-C6-C5</f>
        <v>242.43000000000004</v>
      </c>
      <c r="D13" s="39">
        <f>0.34*B13*C13*(Hypothèses!$B$11-Hypothèses!$B$13)</f>
        <v>0</v>
      </c>
    </row>
    <row r="14" spans="1:4" ht="18.75" customHeight="1">
      <c r="A14" s="17"/>
      <c r="B14" s="40" t="s">
        <v>55</v>
      </c>
      <c r="C14" s="40" t="s">
        <v>108</v>
      </c>
      <c r="D14" s="40" t="s">
        <v>56</v>
      </c>
    </row>
    <row r="15" spans="1:4" ht="18.75" customHeight="1">
      <c r="A15" s="11" t="s">
        <v>57</v>
      </c>
      <c r="B15" s="39"/>
      <c r="C15" s="19"/>
      <c r="D15" s="39">
        <f>'Base de données'!BI12*(Hypothèses!B11-Hypothèses!B13)</f>
        <v>166.42052631477418</v>
      </c>
    </row>
    <row r="16" spans="1:4" ht="21.75" customHeight="1">
      <c r="A16" s="9"/>
      <c r="B16" s="8"/>
      <c r="C16" s="41" t="s">
        <v>10</v>
      </c>
      <c r="D16" s="42" t="e">
        <f>(D3+D4+D5+D6+D7+D8+D11+D13+D15)/1000</f>
        <v>#DIV/0!</v>
      </c>
    </row>
    <row r="18" spans="1:4" ht="19.5" customHeight="1">
      <c r="A18" s="86" t="s">
        <v>11</v>
      </c>
      <c r="B18" s="87"/>
      <c r="C18" s="87"/>
      <c r="D18" s="87"/>
    </row>
    <row r="19" spans="1:4" ht="19.5" customHeight="1">
      <c r="A19" s="17"/>
      <c r="B19" s="7" t="s">
        <v>43</v>
      </c>
      <c r="C19" s="7" t="s">
        <v>120</v>
      </c>
      <c r="D19" s="7" t="s">
        <v>44</v>
      </c>
    </row>
    <row r="20" spans="1:4" ht="19.5" customHeight="1">
      <c r="A20" s="11" t="s">
        <v>45</v>
      </c>
      <c r="B20" s="38">
        <f>Hypothèses!D25</f>
        <v>5.88235294117647</v>
      </c>
      <c r="C20" s="19">
        <f>Hypothèses!D26-C21-C22-C23</f>
        <v>163.8</v>
      </c>
      <c r="D20" s="39">
        <f>B20*C20*(Hypothèses!$B$11-Hypothèses!$B$13)</f>
        <v>14452.941176470587</v>
      </c>
    </row>
    <row r="21" spans="1:4" ht="19.5" customHeight="1">
      <c r="A21" s="11" t="s">
        <v>46</v>
      </c>
      <c r="B21" s="19" t="e">
        <f>(Hypothèses!B$59*Hypothèses!C$59+Hypothèses!B$60*Hypothèses!C$60+Hypothèses!B$61*Hypothèses!C$61+Hypothèses!B$62*Hypothèses!C$62)/C4</f>
        <v>#DIV/0!</v>
      </c>
      <c r="C21" s="19">
        <f>SUM(Hypothèses!C$59:C$62)</f>
        <v>0</v>
      </c>
      <c r="D21" s="39" t="e">
        <f>B21*C21*(Hypothèses!$B$11-Hypothèses!$B$13)</f>
        <v>#DIV/0!</v>
      </c>
    </row>
    <row r="22" spans="1:4" ht="19.5" customHeight="1">
      <c r="A22" s="11" t="s">
        <v>47</v>
      </c>
      <c r="B22" s="38">
        <f>0.47</f>
        <v>0.47</v>
      </c>
      <c r="C22" s="19">
        <f>'Base de données'!BH9</f>
        <v>0</v>
      </c>
      <c r="D22" s="39">
        <f>B22*C22*(Hypothèses!$B$11-Hypothèses!$B$13)</f>
        <v>0</v>
      </c>
    </row>
    <row r="23" spans="1:4" ht="19.5" customHeight="1">
      <c r="A23" s="11" t="s">
        <v>48</v>
      </c>
      <c r="B23" s="38">
        <v>1.8</v>
      </c>
      <c r="C23" s="19">
        <f>C6</f>
        <v>5.17</v>
      </c>
      <c r="D23" s="39">
        <f>B23*C23*(Hypothèses!$B$11-Hypothèses!$B$13)</f>
        <v>139.59</v>
      </c>
    </row>
    <row r="24" spans="1:4" ht="19.5" customHeight="1">
      <c r="A24" s="11" t="s">
        <v>115</v>
      </c>
      <c r="B24" s="38">
        <f>Hypothèses!D53</f>
        <v>0.07490695767362644</v>
      </c>
      <c r="C24" s="19">
        <f>Hypothèses!D54</f>
        <v>83.8</v>
      </c>
      <c r="D24" s="39">
        <f>B24*C24*(Hypothèses!$B$11-Hypothèses!$B$13)</f>
        <v>94.15804579574842</v>
      </c>
    </row>
    <row r="25" spans="1:4" ht="19.5" customHeight="1">
      <c r="A25" s="11" t="s">
        <v>113</v>
      </c>
      <c r="B25" s="38">
        <f>Hypothèses!D39</f>
        <v>0.2145319882518197</v>
      </c>
      <c r="C25" s="19">
        <f>Hypothèses!D40</f>
        <v>89.75</v>
      </c>
      <c r="D25" s="39">
        <f>B25*C25*(Hypothèses!$B$11-Hypothèses!$B$13)</f>
        <v>288.8136891840123</v>
      </c>
    </row>
    <row r="26" spans="1:4" ht="19.5" customHeight="1">
      <c r="A26" s="9"/>
      <c r="B26" s="8"/>
      <c r="C26" s="8"/>
      <c r="D26" s="8"/>
    </row>
    <row r="27" spans="1:4" ht="19.5" customHeight="1">
      <c r="A27" s="17"/>
      <c r="B27" s="40" t="s">
        <v>49</v>
      </c>
      <c r="C27" s="40" t="s">
        <v>50</v>
      </c>
      <c r="D27" s="40" t="s">
        <v>51</v>
      </c>
    </row>
    <row r="28" spans="1:4" ht="19.5" customHeight="1">
      <c r="A28" s="11" t="s">
        <v>52</v>
      </c>
      <c r="B28" s="19">
        <f>IF(Hypothèses!E3="Simple flux",0.9)+IF(Hypothèses!E3="Double flux",0.2)</f>
        <v>0.2</v>
      </c>
      <c r="C28" s="19">
        <f>'Base de données'!AO10</f>
        <v>0</v>
      </c>
      <c r="D28" s="39">
        <f>0.34*B28*C28*(Hypothèses!$B$11-Hypothèses!$B$13)</f>
        <v>0</v>
      </c>
    </row>
    <row r="29" spans="1:4" ht="19.5" customHeight="1">
      <c r="A29" s="9"/>
      <c r="B29" s="40" t="s">
        <v>53</v>
      </c>
      <c r="C29" s="40" t="s">
        <v>120</v>
      </c>
      <c r="D29" s="40" t="s">
        <v>54</v>
      </c>
    </row>
    <row r="30" spans="1:4" ht="19.5" customHeight="1">
      <c r="A30" s="11" t="s">
        <v>95</v>
      </c>
      <c r="B30" s="19">
        <f>Hypothèses!B6</f>
        <v>0</v>
      </c>
      <c r="C30" s="19">
        <f>C20+C24-C21-C23-C22</f>
        <v>242.43000000000004</v>
      </c>
      <c r="D30" s="39">
        <f>0.34*B30*C30*(Hypothèses!$B$11-Hypothèses!$B$13)</f>
        <v>0</v>
      </c>
    </row>
    <row r="31" spans="1:4" ht="19.5" customHeight="1">
      <c r="A31" s="17"/>
      <c r="B31" s="40" t="s">
        <v>55</v>
      </c>
      <c r="C31" s="40" t="s">
        <v>108</v>
      </c>
      <c r="D31" s="40" t="s">
        <v>56</v>
      </c>
    </row>
    <row r="32" spans="1:4" ht="19.5" customHeight="1">
      <c r="A32" s="11" t="s">
        <v>105</v>
      </c>
      <c r="B32" s="39"/>
      <c r="C32" s="19"/>
      <c r="D32" s="39">
        <f>D15</f>
        <v>166.42052631477418</v>
      </c>
    </row>
    <row r="33" spans="1:4" ht="19.5" customHeight="1">
      <c r="A33" s="9"/>
      <c r="B33" s="8"/>
      <c r="C33" s="41" t="s">
        <v>10</v>
      </c>
      <c r="D33" s="42" t="e">
        <f>(D20+D21+D22+D23+D24+D25+D28+D30+D32)/1000</f>
        <v>#DIV/0!</v>
      </c>
    </row>
  </sheetData>
  <sheetProtection/>
  <mergeCells count="2">
    <mergeCell ref="A1:D1"/>
    <mergeCell ref="A18:D18"/>
  </mergeCells>
  <printOptions/>
  <pageMargins left="0.787401575" right="0.787401575" top="0.984251969" bottom="0.984251969" header="0.4921259880065918" footer="0.4921259880065918"/>
  <pageSetup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selection activeCell="I20" sqref="I20"/>
    </sheetView>
  </sheetViews>
  <sheetFormatPr defaultColWidth="10.296875" defaultRowHeight="19.5" customHeight="1"/>
  <cols>
    <col min="1" max="3" width="10.19921875" style="1" customWidth="1"/>
    <col min="4" max="5" width="10.8984375" style="1" customWidth="1"/>
    <col min="6" max="7" width="10.19921875" style="1" customWidth="1"/>
    <col min="8" max="8" width="15.5" style="1" customWidth="1"/>
    <col min="9" max="11" width="11.3984375" style="1" customWidth="1"/>
    <col min="12" max="12" width="10.19921875" style="1" customWidth="1"/>
    <col min="13" max="13" width="13.19921875" style="1" customWidth="1"/>
    <col min="14" max="14" width="13.59765625" style="1" customWidth="1"/>
    <col min="15" max="16384" width="10.19921875" style="1" customWidth="1"/>
  </cols>
  <sheetData>
    <row r="1" spans="1:14" ht="15.75">
      <c r="A1" s="86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8.25">
      <c r="A2" s="17" t="s">
        <v>75</v>
      </c>
      <c r="B2" s="17" t="s">
        <v>136</v>
      </c>
      <c r="C2" s="17" t="s">
        <v>137</v>
      </c>
      <c r="D2" s="17" t="s">
        <v>138</v>
      </c>
      <c r="E2" s="17" t="s">
        <v>147</v>
      </c>
      <c r="F2" s="7" t="s">
        <v>148</v>
      </c>
      <c r="G2" s="7" t="s">
        <v>149</v>
      </c>
      <c r="H2" s="17" t="s">
        <v>150</v>
      </c>
      <c r="I2" s="7" t="s">
        <v>151</v>
      </c>
      <c r="J2" s="91" t="s">
        <v>152</v>
      </c>
      <c r="K2" s="91"/>
      <c r="L2" s="91"/>
      <c r="M2" s="7" t="s">
        <v>153</v>
      </c>
      <c r="N2" s="7" t="s">
        <v>154</v>
      </c>
    </row>
    <row r="3" spans="1:14" ht="12.75">
      <c r="A3" s="59" t="s">
        <v>21</v>
      </c>
      <c r="B3" s="43">
        <v>0.55</v>
      </c>
      <c r="C3" s="60">
        <f>('Base de données'!CW$5-'Calculs Consommation'!B3)*'Base de données'!CT3/'Base de données'!CU3</f>
        <v>-0.03151571164510167</v>
      </c>
      <c r="D3" s="43" t="e">
        <f>24*'Base de données'!CY$3*'Base de données'!CU3*C3/(Hypothèses!$B$11-Hypothèses!$B$13)</f>
        <v>#DIV/0!</v>
      </c>
      <c r="E3" s="43">
        <f>'Base de données'!AC$3*'Base de données'!CW$3*'Base de données'!CT3*'Base de données'!CR2/1000</f>
        <v>0</v>
      </c>
      <c r="F3" s="43">
        <f>'Base de données'!CJ3</f>
        <v>0</v>
      </c>
      <c r="G3" s="43">
        <f aca="true" t="shared" si="0" ref="G3:G14">E3+F3</f>
        <v>0</v>
      </c>
      <c r="H3" s="43" t="e">
        <f>(D3-E3-F3)/('Base de données'!L$10*'Base de données'!AS$5*'Base de données'!AW$5)</f>
        <v>#DIV/0!</v>
      </c>
      <c r="I3" s="43">
        <f>'Base de données'!CN2/'Base de données'!P$15</f>
        <v>0</v>
      </c>
      <c r="J3" s="37">
        <v>67</v>
      </c>
      <c r="K3" s="6">
        <f>IF(Hypothèses!E$7="Ballon solaire",1,0)</f>
        <v>1</v>
      </c>
      <c r="L3" s="37">
        <f aca="true" t="shared" si="1" ref="L3:L14">J3*K3</f>
        <v>67</v>
      </c>
      <c r="M3" s="43">
        <f aca="true" t="shared" si="2" ref="M3:M14">I3-L3</f>
        <v>-67</v>
      </c>
      <c r="N3" s="43">
        <f aca="true" t="shared" si="3" ref="N3:N14">SUMIF(H3,"&gt;0")+I3-L3</f>
        <v>-67</v>
      </c>
    </row>
    <row r="4" spans="1:14" ht="12.75">
      <c r="A4" s="59" t="s">
        <v>22</v>
      </c>
      <c r="B4" s="43">
        <v>2.36</v>
      </c>
      <c r="C4" s="60">
        <f>('Base de données'!CW$5-'Calculs Consommation'!B4)*'Base de données'!CT4/'Base de données'!CU4</f>
        <v>-0.1508675799086758</v>
      </c>
      <c r="D4" s="43" t="e">
        <f>24*'Base de données'!CY$3*'Base de données'!CU4*C4/(Hypothèses!$B$11-Hypothèses!$B$13)</f>
        <v>#DIV/0!</v>
      </c>
      <c r="E4" s="43">
        <f>'Base de données'!AC$3*'Base de données'!CW$3*'Base de données'!CT4*'Base de données'!CR3/1000</f>
        <v>0</v>
      </c>
      <c r="F4" s="43">
        <f>'Base de données'!CJ4</f>
        <v>0</v>
      </c>
      <c r="G4" s="43">
        <f t="shared" si="0"/>
        <v>0</v>
      </c>
      <c r="H4" s="43" t="e">
        <f>(D4-E4-F4)/('Base de données'!L$10*'Base de données'!AS$5*'Base de données'!AW$5)</f>
        <v>#DIV/0!</v>
      </c>
      <c r="I4" s="43">
        <f>'Base de données'!CN3/'Base de données'!P$15</f>
        <v>0</v>
      </c>
      <c r="J4" s="37">
        <v>97</v>
      </c>
      <c r="K4" s="6">
        <f>IF(Hypothèses!E$7="Ballon solaire",1,0)</f>
        <v>1</v>
      </c>
      <c r="L4" s="37">
        <f t="shared" si="1"/>
        <v>97</v>
      </c>
      <c r="M4" s="43">
        <f t="shared" si="2"/>
        <v>-97</v>
      </c>
      <c r="N4" s="43">
        <f t="shared" si="3"/>
        <v>-97</v>
      </c>
    </row>
    <row r="5" spans="1:14" ht="12.75">
      <c r="A5" s="59" t="s">
        <v>23</v>
      </c>
      <c r="B5" s="43">
        <v>5.26</v>
      </c>
      <c r="C5" s="60">
        <f>('Base de données'!CW$5-'Calculs Consommation'!B5)*'Base de données'!CT5/'Base de données'!CU5</f>
        <v>-0.4128101265822785</v>
      </c>
      <c r="D5" s="43" t="e">
        <f>24*'Base de données'!CY$3*'Base de données'!CU5*C5/(Hypothèses!$B$11-Hypothèses!$B$13)</f>
        <v>#DIV/0!</v>
      </c>
      <c r="E5" s="43">
        <f>'Base de données'!AC$3*'Base de données'!CW$3*'Base de données'!CT5*'Base de données'!CR4/1000</f>
        <v>0</v>
      </c>
      <c r="F5" s="43">
        <f>'Base de données'!CJ5</f>
        <v>0</v>
      </c>
      <c r="G5" s="43">
        <f t="shared" si="0"/>
        <v>0</v>
      </c>
      <c r="H5" s="43" t="e">
        <f>(D5-E5-F5)/('Base de données'!L$10*'Base de données'!AS$5*'Base de données'!AW$5)</f>
        <v>#DIV/0!</v>
      </c>
      <c r="I5" s="43">
        <f>'Base de données'!CN4/'Base de données'!P$15</f>
        <v>0</v>
      </c>
      <c r="J5" s="37">
        <v>157</v>
      </c>
      <c r="K5" s="6">
        <f>IF(Hypothèses!E$7="Ballon solaire",1,0)</f>
        <v>1</v>
      </c>
      <c r="L5" s="37">
        <f t="shared" si="1"/>
        <v>157</v>
      </c>
      <c r="M5" s="43">
        <f t="shared" si="2"/>
        <v>-157</v>
      </c>
      <c r="N5" s="43">
        <f t="shared" si="3"/>
        <v>-157</v>
      </c>
    </row>
    <row r="6" spans="1:14" ht="12.75">
      <c r="A6" s="59" t="s">
        <v>68</v>
      </c>
      <c r="B6" s="43">
        <v>8.67</v>
      </c>
      <c r="C6" s="60">
        <f>('Base de données'!CW$5-'Calculs Consommation'!B6)*'Base de données'!CT6/'Base de données'!CU6</f>
        <v>-0.9289285714285715</v>
      </c>
      <c r="D6" s="43" t="e">
        <f>24*'Base de données'!CY$3*'Base de données'!CU6*C6/(Hypothèses!$B$11-Hypothèses!$B$13)</f>
        <v>#DIV/0!</v>
      </c>
      <c r="E6" s="43">
        <f>'Base de données'!AC$3*'Base de données'!CW$3*'Base de données'!CT6*'Base de données'!CR5/1000</f>
        <v>0</v>
      </c>
      <c r="F6" s="43">
        <f>'Base de données'!CJ6</f>
        <v>0</v>
      </c>
      <c r="G6" s="43">
        <f t="shared" si="0"/>
        <v>0</v>
      </c>
      <c r="H6" s="43" t="e">
        <f>(D6-E6-F6)/('Base de données'!L$10*'Base de données'!AS$5*'Base de données'!AW$5)</f>
        <v>#DIV/0!</v>
      </c>
      <c r="I6" s="43">
        <f>'Base de données'!CN5/'Base de données'!P$15</f>
        <v>0</v>
      </c>
      <c r="J6" s="37">
        <v>191</v>
      </c>
      <c r="K6" s="6">
        <f>IF(Hypothèses!E$7="Ballon solaire",1,0)</f>
        <v>1</v>
      </c>
      <c r="L6" s="37">
        <f t="shared" si="1"/>
        <v>191</v>
      </c>
      <c r="M6" s="43">
        <f t="shared" si="2"/>
        <v>-191</v>
      </c>
      <c r="N6" s="43">
        <f t="shared" si="3"/>
        <v>-191</v>
      </c>
    </row>
    <row r="7" spans="1:14" ht="12.75">
      <c r="A7" s="59" t="s">
        <v>58</v>
      </c>
      <c r="B7" s="43">
        <v>12.29</v>
      </c>
      <c r="C7" s="60">
        <f>('Base de données'!CW$5-'Calculs Consommation'!B7)*'Base de données'!CT7/'Base de données'!CU7</f>
        <v>-2.1524858757062146</v>
      </c>
      <c r="D7" s="43" t="e">
        <f>24*'Base de données'!CY$3*'Base de données'!CU7*C7/(Hypothèses!$B$11-Hypothèses!$B$13)</f>
        <v>#DIV/0!</v>
      </c>
      <c r="E7" s="43">
        <f>'Base de données'!AC$3*'Base de données'!CW$3*'Base de données'!CT7*'Base de données'!CR6/1000</f>
        <v>0</v>
      </c>
      <c r="F7" s="43">
        <f>'Base de données'!CJ7</f>
        <v>0</v>
      </c>
      <c r="G7" s="43">
        <f t="shared" si="0"/>
        <v>0</v>
      </c>
      <c r="H7" s="43" t="e">
        <f>(D7-E7-F7)/('Base de données'!L$10*'Base de données'!AS$5*'Base de données'!AW$5)</f>
        <v>#DIV/0!</v>
      </c>
      <c r="I7" s="43">
        <f>'Base de données'!CN6/'Base de données'!P$15</f>
        <v>0</v>
      </c>
      <c r="J7" s="37">
        <v>221</v>
      </c>
      <c r="K7" s="6">
        <f>IF(Hypothèses!E$7="Ballon solaire",1,0)</f>
        <v>1</v>
      </c>
      <c r="L7" s="37">
        <f t="shared" si="1"/>
        <v>221</v>
      </c>
      <c r="M7" s="43">
        <f t="shared" si="2"/>
        <v>-221</v>
      </c>
      <c r="N7" s="43">
        <f t="shared" si="3"/>
        <v>-221</v>
      </c>
    </row>
    <row r="8" spans="1:14" ht="12.75">
      <c r="A8" s="59" t="s">
        <v>59</v>
      </c>
      <c r="B8" s="43">
        <v>15.33</v>
      </c>
      <c r="C8" s="60">
        <f>('Base de données'!CW$5-'Calculs Consommation'!B8)*'Base de données'!CT8/'Base de données'!CU8</f>
        <v>-5.748749999999999</v>
      </c>
      <c r="D8" s="43" t="e">
        <f>24*'Base de données'!CY$3*'Base de données'!CU8*C8/(Hypothèses!$B$11-Hypothèses!$B$13)</f>
        <v>#DIV/0!</v>
      </c>
      <c r="E8" s="43">
        <f>'Base de données'!AC$3*'Base de données'!CW$3*'Base de données'!CT8*'Base de données'!CR7/1000</f>
        <v>0</v>
      </c>
      <c r="F8" s="43">
        <f>'Base de données'!CJ8</f>
        <v>0</v>
      </c>
      <c r="G8" s="43">
        <f t="shared" si="0"/>
        <v>0</v>
      </c>
      <c r="H8" s="43" t="e">
        <f>(D8-E8-F8)/('Base de données'!L$10*'Base de données'!AS$5*'Base de données'!AW$5)</f>
        <v>#DIV/0!</v>
      </c>
      <c r="I8" s="43">
        <f>'Base de données'!CN7/'Base de données'!T$15</f>
        <v>0</v>
      </c>
      <c r="J8" s="37">
        <v>219</v>
      </c>
      <c r="K8" s="6">
        <f>IF(Hypothèses!E$7="Ballon solaire",1,0)</f>
        <v>1</v>
      </c>
      <c r="L8" s="37">
        <f t="shared" si="1"/>
        <v>219</v>
      </c>
      <c r="M8" s="43">
        <f t="shared" si="2"/>
        <v>-219</v>
      </c>
      <c r="N8" s="43">
        <f t="shared" si="3"/>
        <v>-219</v>
      </c>
    </row>
    <row r="9" spans="1:14" ht="12.75">
      <c r="A9" s="59" t="s">
        <v>60</v>
      </c>
      <c r="B9" s="43">
        <v>17.08</v>
      </c>
      <c r="C9" s="60">
        <f>('Base de données'!CW$5-'Calculs Consommation'!B9)*'Base de données'!CT9/'Base de données'!CU9</f>
        <v>-18.257931034482755</v>
      </c>
      <c r="D9" s="43" t="e">
        <f>24*'Base de données'!CY$3*'Base de données'!CU9*C9/(Hypothèses!$B$11-Hypothèses!$B$13)</f>
        <v>#DIV/0!</v>
      </c>
      <c r="E9" s="43">
        <f>'Base de données'!AC$3*'Base de données'!CW$3*'Base de données'!CT9*'Base de données'!CR8/1000</f>
        <v>0</v>
      </c>
      <c r="F9" s="43">
        <f>'Base de données'!CJ9</f>
        <v>0</v>
      </c>
      <c r="G9" s="43">
        <f t="shared" si="0"/>
        <v>0</v>
      </c>
      <c r="H9" s="43" t="e">
        <f>(D9-E9-F9)/('Base de données'!L$10*'Base de données'!AS$5*'Base de données'!AW$5)</f>
        <v>#DIV/0!</v>
      </c>
      <c r="I9" s="43">
        <f>'Base de données'!CN8/'Base de données'!T$15</f>
        <v>0</v>
      </c>
      <c r="J9" s="37">
        <v>227</v>
      </c>
      <c r="K9" s="6">
        <f>IF(Hypothèses!E$7="Ballon solaire",1,0)</f>
        <v>1</v>
      </c>
      <c r="L9" s="37">
        <f t="shared" si="1"/>
        <v>227</v>
      </c>
      <c r="M9" s="43">
        <f t="shared" si="2"/>
        <v>-227</v>
      </c>
      <c r="N9" s="43">
        <f t="shared" si="3"/>
        <v>-227</v>
      </c>
    </row>
    <row r="10" spans="1:14" ht="12.75">
      <c r="A10" s="59" t="s">
        <v>61</v>
      </c>
      <c r="B10" s="43">
        <v>16.94</v>
      </c>
      <c r="C10" s="60">
        <f>('Base de données'!CW$5-'Calculs Consommation'!B10)*'Base de données'!CT10/'Base de données'!CU10</f>
        <v>-15.913333333333332</v>
      </c>
      <c r="D10" s="43" t="e">
        <f>24*'Base de données'!CY$3*'Base de données'!CU10*C10/(Hypothèses!$B$11-Hypothèses!$B$13)</f>
        <v>#DIV/0!</v>
      </c>
      <c r="E10" s="43">
        <f>'Base de données'!AC$3*'Base de données'!CW$3*'Base de données'!CT10*'Base de données'!CR9/1000</f>
        <v>0</v>
      </c>
      <c r="F10" s="43">
        <f>'Base de données'!CJ10</f>
        <v>0</v>
      </c>
      <c r="G10" s="43">
        <f t="shared" si="0"/>
        <v>0</v>
      </c>
      <c r="H10" s="43" t="e">
        <f>(D10-E10-F10)/('Base de données'!L$10*'Base de données'!AS$5*'Base de données'!AW$5)</f>
        <v>#DIV/0!</v>
      </c>
      <c r="I10" s="43">
        <f>'Base de données'!CN9/'Base de données'!T$15</f>
        <v>0</v>
      </c>
      <c r="J10" s="37">
        <v>213</v>
      </c>
      <c r="K10" s="6">
        <f>IF(Hypothèses!E$7="Ballon solaire",1,0)</f>
        <v>1</v>
      </c>
      <c r="L10" s="37">
        <f t="shared" si="1"/>
        <v>213</v>
      </c>
      <c r="M10" s="43">
        <f t="shared" si="2"/>
        <v>-213</v>
      </c>
      <c r="N10" s="43">
        <f t="shared" si="3"/>
        <v>-213</v>
      </c>
    </row>
    <row r="11" spans="1:14" ht="12.75">
      <c r="A11" s="59" t="s">
        <v>62</v>
      </c>
      <c r="B11" s="43">
        <v>14.5</v>
      </c>
      <c r="C11" s="60">
        <f>('Base de données'!CW$5-'Calculs Consommation'!B11)*'Base de données'!CT11/'Base de données'!CU11</f>
        <v>-4.142857142857143</v>
      </c>
      <c r="D11" s="43" t="e">
        <f>24*'Base de données'!CY$3*'Base de données'!CU11*C11/(Hypothèses!$B$11-Hypothèses!$B$13)</f>
        <v>#DIV/0!</v>
      </c>
      <c r="E11" s="43">
        <f>'Base de données'!AC$3*'Base de données'!CW$3*'Base de données'!CT11*'Base de données'!CR10/1000</f>
        <v>0</v>
      </c>
      <c r="F11" s="43">
        <f>'Base de données'!CJ11</f>
        <v>0</v>
      </c>
      <c r="G11" s="43">
        <f t="shared" si="0"/>
        <v>0</v>
      </c>
      <c r="H11" s="43" t="e">
        <f>(D11-E11-F11)/('Base de données'!L$10*'Base de données'!AS$5*'Base de données'!AW$5)</f>
        <v>#DIV/0!</v>
      </c>
      <c r="I11" s="43">
        <f>'Base de données'!CN10/'Base de données'!T$15</f>
        <v>0</v>
      </c>
      <c r="J11" s="37">
        <v>181</v>
      </c>
      <c r="K11" s="6">
        <f>IF(Hypothèses!E$7="Ballon solaire",1,0)</f>
        <v>1</v>
      </c>
      <c r="L11" s="37">
        <f t="shared" si="1"/>
        <v>181</v>
      </c>
      <c r="M11" s="43">
        <f t="shared" si="2"/>
        <v>-181</v>
      </c>
      <c r="N11" s="43">
        <f t="shared" si="3"/>
        <v>-181</v>
      </c>
    </row>
    <row r="12" spans="1:14" ht="12.75">
      <c r="A12" s="59" t="s">
        <v>63</v>
      </c>
      <c r="B12" s="43">
        <v>9.87</v>
      </c>
      <c r="C12" s="60">
        <f>('Base de données'!CW$5-'Calculs Consommation'!B12)*'Base de données'!CT12/'Base de données'!CU12</f>
        <v>-1.2141666666666666</v>
      </c>
      <c r="D12" s="43" t="e">
        <f>24*'Base de données'!CY$3*'Base de données'!CU12*C12/(Hypothèses!$B$11-Hypothèses!$B$13)</f>
        <v>#DIV/0!</v>
      </c>
      <c r="E12" s="43">
        <f>'Base de données'!AC$3*'Base de données'!CW$3*'Base de données'!CT12*'Base de données'!CR11/1000</f>
        <v>0</v>
      </c>
      <c r="F12" s="43">
        <f>'Base de données'!CJ12</f>
        <v>0</v>
      </c>
      <c r="G12" s="43">
        <f t="shared" si="0"/>
        <v>0</v>
      </c>
      <c r="H12" s="43" t="e">
        <f>(D12-E12-F12)/('Base de données'!L$10*'Base de données'!AS$5*'Base de données'!AW$5)</f>
        <v>#DIV/0!</v>
      </c>
      <c r="I12" s="43">
        <f>'Base de données'!CN11/'Base de données'!P$15</f>
        <v>0</v>
      </c>
      <c r="J12" s="37">
        <v>142</v>
      </c>
      <c r="K12" s="6">
        <f>IF(Hypothèses!E$7="Ballon solaire",1,0)</f>
        <v>1</v>
      </c>
      <c r="L12" s="37">
        <f t="shared" si="1"/>
        <v>142</v>
      </c>
      <c r="M12" s="43">
        <f t="shared" si="2"/>
        <v>-142</v>
      </c>
      <c r="N12" s="43">
        <f t="shared" si="3"/>
        <v>-142</v>
      </c>
    </row>
    <row r="13" spans="1:14" ht="12.75">
      <c r="A13" s="59" t="s">
        <v>64</v>
      </c>
      <c r="B13" s="43">
        <v>4.47</v>
      </c>
      <c r="C13" s="60">
        <f>('Base de données'!CW$5-'Calculs Consommation'!B13)*'Base de données'!CT13/'Base de données'!CU13</f>
        <v>-0.33029556650246306</v>
      </c>
      <c r="D13" s="43" t="e">
        <f>24*'Base de données'!CY$3*'Base de données'!CU13*C13/(Hypothèses!$B$11-Hypothèses!$B$13)</f>
        <v>#DIV/0!</v>
      </c>
      <c r="E13" s="43">
        <f>'Base de données'!AC$3*'Base de données'!CW$3*'Base de données'!CT13*'Base de données'!CR12/1000</f>
        <v>0</v>
      </c>
      <c r="F13" s="43">
        <f>'Base de données'!CJ13</f>
        <v>0</v>
      </c>
      <c r="G13" s="43">
        <f t="shared" si="0"/>
        <v>0</v>
      </c>
      <c r="H13" s="43" t="e">
        <f>(D13-E13-F13)/('Base de données'!L$10*'Base de données'!AS$5*'Base de données'!AW$5)</f>
        <v>#DIV/0!</v>
      </c>
      <c r="I13" s="43">
        <f>'Base de données'!CN12/'Base de données'!P$15</f>
        <v>0</v>
      </c>
      <c r="J13" s="37">
        <v>79</v>
      </c>
      <c r="K13" s="6">
        <f>IF(Hypothèses!E$7="Ballon solaire",1,0)</f>
        <v>1</v>
      </c>
      <c r="L13" s="37">
        <f t="shared" si="1"/>
        <v>79</v>
      </c>
      <c r="M13" s="43">
        <f t="shared" si="2"/>
        <v>-79</v>
      </c>
      <c r="N13" s="43">
        <f t="shared" si="3"/>
        <v>-79</v>
      </c>
    </row>
    <row r="14" spans="1:14" ht="12.75">
      <c r="A14" s="59" t="s">
        <v>65</v>
      </c>
      <c r="B14" s="43">
        <v>1.29</v>
      </c>
      <c r="C14" s="60">
        <f>('Base de données'!CW$5-'Calculs Consommation'!B14)*'Base de données'!CT14/'Base de données'!CU14</f>
        <v>-0.0772007722007722</v>
      </c>
      <c r="D14" s="43" t="e">
        <f>24*'Base de données'!CY$3*'Base de données'!CU14*C14/(Hypothèses!$B$11-Hypothèses!$B$13)</f>
        <v>#DIV/0!</v>
      </c>
      <c r="E14" s="43">
        <f>'Base de données'!AC$3*'Base de données'!CW$3*'Base de données'!CT14*'Base de données'!CR13/1000</f>
        <v>0</v>
      </c>
      <c r="F14" s="43">
        <f>'Base de données'!CJ14</f>
        <v>0</v>
      </c>
      <c r="G14" s="43">
        <f t="shared" si="0"/>
        <v>0</v>
      </c>
      <c r="H14" s="43" t="e">
        <f>(D14-E14-F14)/('Base de données'!L$10*'Base de données'!AS$5*'Base de données'!AW$5)</f>
        <v>#DIV/0!</v>
      </c>
      <c r="I14" s="43">
        <f>'Base de données'!CN13/'Base de données'!P$15</f>
        <v>0</v>
      </c>
      <c r="J14" s="37">
        <v>60</v>
      </c>
      <c r="K14" s="6">
        <f>IF(Hypothèses!E$7="Ballon solaire",1,0)</f>
        <v>1</v>
      </c>
      <c r="L14" s="37">
        <f t="shared" si="1"/>
        <v>60</v>
      </c>
      <c r="M14" s="43">
        <f t="shared" si="2"/>
        <v>-60</v>
      </c>
      <c r="N14" s="43">
        <f t="shared" si="3"/>
        <v>-60</v>
      </c>
    </row>
    <row r="15" spans="1:14" ht="12.7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8.75" customHeight="1">
      <c r="A16" s="61"/>
      <c r="B16" s="8"/>
      <c r="C16" s="8"/>
      <c r="D16" s="8" t="e">
        <f>SUM(D3:D14)</f>
        <v>#DIV/0!</v>
      </c>
      <c r="E16" s="8"/>
      <c r="F16" s="62" t="s">
        <v>179</v>
      </c>
      <c r="G16" s="62"/>
      <c r="H16" s="63">
        <f>SUMIF(H3:H14,"&gt;0")</f>
        <v>0</v>
      </c>
      <c r="I16" s="63">
        <f>SUM(I3:I14)</f>
        <v>0</v>
      </c>
      <c r="J16" s="63"/>
      <c r="K16" s="63"/>
      <c r="L16" s="63">
        <f>SUM(L3:L14)</f>
        <v>1854</v>
      </c>
      <c r="M16" s="63">
        <f>SUMIF(M3:M14,"&gt;0")</f>
        <v>0</v>
      </c>
      <c r="N16" s="63">
        <f>SUMIF(N3:N14,"&gt;0")</f>
        <v>0</v>
      </c>
    </row>
  </sheetData>
  <sheetProtection/>
  <mergeCells count="2">
    <mergeCell ref="A1:N1"/>
    <mergeCell ref="J2:L2"/>
  </mergeCells>
  <printOptions/>
  <pageMargins left="0.787401575" right="0.787401575" top="0.984251969" bottom="0.984251969" header="0.4921259880065918" footer="0.4921259880065918"/>
  <pageSetup firstPageNumber="1" useFirstPageNumber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4">
      <selection activeCell="I11" sqref="I11"/>
    </sheetView>
  </sheetViews>
  <sheetFormatPr defaultColWidth="10.296875" defaultRowHeight="19.5" customHeight="1"/>
  <cols>
    <col min="1" max="1" width="10.09765625" style="1" customWidth="1"/>
    <col min="2" max="5" width="14" style="1" customWidth="1"/>
    <col min="6" max="16384" width="10.19921875" style="1" customWidth="1"/>
  </cols>
  <sheetData>
    <row r="1" spans="1:5" ht="24">
      <c r="A1" s="71"/>
      <c r="B1" s="71" t="s">
        <v>195</v>
      </c>
      <c r="C1" s="71" t="s">
        <v>196</v>
      </c>
      <c r="D1" s="71" t="s">
        <v>197</v>
      </c>
      <c r="E1" s="71" t="s">
        <v>198</v>
      </c>
    </row>
    <row r="2" spans="1:5" ht="15" customHeight="1">
      <c r="A2" s="72" t="s">
        <v>199</v>
      </c>
      <c r="B2" s="73" t="e">
        <f>'Calculs Consommation'!D3</f>
        <v>#DIV/0!</v>
      </c>
      <c r="C2" s="74">
        <f>'Calculs Consommation'!G3</f>
        <v>0</v>
      </c>
      <c r="D2" s="74">
        <f>'Calculs Consommation'!I3</f>
        <v>0</v>
      </c>
      <c r="E2" s="74">
        <f>SUM('Calculs Consommation'!L3)</f>
        <v>67</v>
      </c>
    </row>
    <row r="3" spans="1:5" ht="15" customHeight="1">
      <c r="A3" s="72" t="s">
        <v>200</v>
      </c>
      <c r="B3" s="73" t="e">
        <f>'Calculs Consommation'!D4</f>
        <v>#DIV/0!</v>
      </c>
      <c r="C3" s="74">
        <f>'Calculs Consommation'!G4</f>
        <v>0</v>
      </c>
      <c r="D3" s="74">
        <f>'Calculs Consommation'!I4</f>
        <v>0</v>
      </c>
      <c r="E3" s="74">
        <f>SUM('Calculs Consommation'!L4)</f>
        <v>97</v>
      </c>
    </row>
    <row r="4" spans="1:5" ht="15" customHeight="1">
      <c r="A4" s="72" t="s">
        <v>201</v>
      </c>
      <c r="B4" s="73" t="e">
        <f>'Calculs Consommation'!D5</f>
        <v>#DIV/0!</v>
      </c>
      <c r="C4" s="74">
        <f>'Calculs Consommation'!G5</f>
        <v>0</v>
      </c>
      <c r="D4" s="74">
        <f>'Calculs Consommation'!I5</f>
        <v>0</v>
      </c>
      <c r="E4" s="74">
        <f>SUM('Calculs Consommation'!L5)</f>
        <v>157</v>
      </c>
    </row>
    <row r="5" spans="1:5" ht="15" customHeight="1">
      <c r="A5" s="72" t="s">
        <v>202</v>
      </c>
      <c r="B5" s="73" t="e">
        <f>'Calculs Consommation'!D6</f>
        <v>#DIV/0!</v>
      </c>
      <c r="C5" s="74">
        <f>'Calculs Consommation'!G6</f>
        <v>0</v>
      </c>
      <c r="D5" s="74">
        <f>'Calculs Consommation'!I6</f>
        <v>0</v>
      </c>
      <c r="E5" s="74">
        <f>SUM('Calculs Consommation'!L6)</f>
        <v>191</v>
      </c>
    </row>
    <row r="6" spans="1:5" ht="15" customHeight="1">
      <c r="A6" s="72" t="s">
        <v>203</v>
      </c>
      <c r="B6" s="73" t="e">
        <f>'Calculs Consommation'!D7</f>
        <v>#DIV/0!</v>
      </c>
      <c r="C6" s="74">
        <f>'Calculs Consommation'!G7</f>
        <v>0</v>
      </c>
      <c r="D6" s="74">
        <f>'Calculs Consommation'!I7</f>
        <v>0</v>
      </c>
      <c r="E6" s="74">
        <f>SUM('Calculs Consommation'!L7)</f>
        <v>221</v>
      </c>
    </row>
    <row r="7" spans="1:5" ht="15" customHeight="1">
      <c r="A7" s="72" t="s">
        <v>204</v>
      </c>
      <c r="B7" s="73" t="e">
        <f>'Calculs Consommation'!D8</f>
        <v>#DIV/0!</v>
      </c>
      <c r="C7" s="74">
        <f>'Calculs Consommation'!G8</f>
        <v>0</v>
      </c>
      <c r="D7" s="74">
        <f>'Calculs Consommation'!I8</f>
        <v>0</v>
      </c>
      <c r="E7" s="74">
        <f>SUM('Calculs Consommation'!L8)</f>
        <v>219</v>
      </c>
    </row>
    <row r="8" spans="1:5" ht="15" customHeight="1">
      <c r="A8" s="72" t="s">
        <v>205</v>
      </c>
      <c r="B8" s="73" t="e">
        <f>'Calculs Consommation'!D9</f>
        <v>#DIV/0!</v>
      </c>
      <c r="C8" s="74">
        <f>'Calculs Consommation'!G9</f>
        <v>0</v>
      </c>
      <c r="D8" s="74">
        <f>'Calculs Consommation'!I9</f>
        <v>0</v>
      </c>
      <c r="E8" s="74">
        <f>SUM('Calculs Consommation'!L9)</f>
        <v>227</v>
      </c>
    </row>
    <row r="9" spans="1:5" ht="15" customHeight="1">
      <c r="A9" s="72" t="s">
        <v>206</v>
      </c>
      <c r="B9" s="73" t="e">
        <f>'Calculs Consommation'!D10</f>
        <v>#DIV/0!</v>
      </c>
      <c r="C9" s="74">
        <f>'Calculs Consommation'!G10</f>
        <v>0</v>
      </c>
      <c r="D9" s="74">
        <f>'Calculs Consommation'!I10</f>
        <v>0</v>
      </c>
      <c r="E9" s="74">
        <f>SUM('Calculs Consommation'!L10)</f>
        <v>213</v>
      </c>
    </row>
    <row r="10" spans="1:5" ht="15" customHeight="1">
      <c r="A10" s="72" t="s">
        <v>207</v>
      </c>
      <c r="B10" s="73" t="e">
        <f>'Calculs Consommation'!D11</f>
        <v>#DIV/0!</v>
      </c>
      <c r="C10" s="74">
        <f>'Calculs Consommation'!G11</f>
        <v>0</v>
      </c>
      <c r="D10" s="74">
        <f>'Calculs Consommation'!I11</f>
        <v>0</v>
      </c>
      <c r="E10" s="74">
        <f>SUM('Calculs Consommation'!L11)</f>
        <v>181</v>
      </c>
    </row>
    <row r="11" spans="1:5" ht="15" customHeight="1">
      <c r="A11" s="72" t="s">
        <v>208</v>
      </c>
      <c r="B11" s="73" t="e">
        <f>'Calculs Consommation'!D12</f>
        <v>#DIV/0!</v>
      </c>
      <c r="C11" s="74">
        <f>'Calculs Consommation'!G12</f>
        <v>0</v>
      </c>
      <c r="D11" s="74">
        <f>'Calculs Consommation'!I12</f>
        <v>0</v>
      </c>
      <c r="E11" s="74">
        <f>SUM('Calculs Consommation'!L12)</f>
        <v>142</v>
      </c>
    </row>
    <row r="12" spans="1:5" ht="15" customHeight="1">
      <c r="A12" s="72" t="s">
        <v>209</v>
      </c>
      <c r="B12" s="73" t="e">
        <f>'Calculs Consommation'!D13</f>
        <v>#DIV/0!</v>
      </c>
      <c r="C12" s="74">
        <f>'Calculs Consommation'!G13</f>
        <v>0</v>
      </c>
      <c r="D12" s="74">
        <f>'Calculs Consommation'!I13</f>
        <v>0</v>
      </c>
      <c r="E12" s="74">
        <f>SUM('Calculs Consommation'!L13)</f>
        <v>79</v>
      </c>
    </row>
    <row r="13" spans="1:5" ht="15" customHeight="1">
      <c r="A13" s="72" t="s">
        <v>210</v>
      </c>
      <c r="B13" s="73" t="e">
        <f>'Calculs Consommation'!D14</f>
        <v>#DIV/0!</v>
      </c>
      <c r="C13" s="74">
        <f>'Calculs Consommation'!G14</f>
        <v>0</v>
      </c>
      <c r="D13" s="74">
        <f>'Calculs Consommation'!I14</f>
        <v>0</v>
      </c>
      <c r="E13" s="74">
        <f>SUM('Calculs Consommation'!L14)</f>
        <v>60</v>
      </c>
    </row>
    <row r="15" spans="1:4" ht="19.5" customHeight="1">
      <c r="A15" s="86" t="s">
        <v>155</v>
      </c>
      <c r="B15" s="87"/>
      <c r="C15" s="87"/>
      <c r="D15" s="87"/>
    </row>
    <row r="16" spans="1:4" ht="19.5" customHeight="1">
      <c r="A16" s="64"/>
      <c r="B16" s="64" t="s">
        <v>156</v>
      </c>
      <c r="C16" s="64" t="s">
        <v>157</v>
      </c>
      <c r="D16" s="64" t="s">
        <v>158</v>
      </c>
    </row>
    <row r="17" spans="1:4" ht="19.5" customHeight="1">
      <c r="A17" s="65" t="s">
        <v>5</v>
      </c>
      <c r="B17" s="66">
        <f>'Calculs Consommation'!H16</f>
        <v>0</v>
      </c>
      <c r="C17" s="67">
        <f>B17*'Base de données'!D10</f>
        <v>0</v>
      </c>
      <c r="D17" s="67" t="e">
        <f>C17/Hypothèses!B5</f>
        <v>#DIV/0!</v>
      </c>
    </row>
    <row r="18" spans="1:4" ht="19.5" customHeight="1">
      <c r="A18" s="65" t="s">
        <v>9</v>
      </c>
      <c r="B18" s="66">
        <f>'Calculs Consommation'!M16</f>
        <v>0</v>
      </c>
      <c r="C18" s="67">
        <f>B18*'Base de données'!H15</f>
        <v>0</v>
      </c>
      <c r="D18" s="67" t="e">
        <f>C18/Hypothèses!B5</f>
        <v>#DIV/0!</v>
      </c>
    </row>
    <row r="19" spans="1:4" ht="19.5" customHeight="1">
      <c r="A19" s="65" t="s">
        <v>159</v>
      </c>
      <c r="B19" s="66">
        <f>('Base de données'!CW3*'Base de données'!Z4+'Base de données'!CW4*'Base de données'!Z3)*365/1000</f>
        <v>476.69</v>
      </c>
      <c r="C19" s="66">
        <f>B19*2.58</f>
        <v>1229.8602</v>
      </c>
      <c r="D19" s="67" t="e">
        <f>C19/Hypothèses!B5</f>
        <v>#DIV/0!</v>
      </c>
    </row>
    <row r="20" spans="1:4" ht="19.5" customHeight="1">
      <c r="A20" s="65" t="s">
        <v>139</v>
      </c>
      <c r="B20" s="66">
        <f>'Base de données'!BA10*'Base de données'!CW3*200/1000</f>
        <v>312</v>
      </c>
      <c r="C20" s="66">
        <f>B20*2.58</f>
        <v>804.96</v>
      </c>
      <c r="D20" s="67" t="e">
        <f>C20/Hypothèses!B5</f>
        <v>#DIV/0!</v>
      </c>
    </row>
    <row r="21" spans="1:4" ht="19.5" customHeight="1">
      <c r="A21" s="65" t="s">
        <v>140</v>
      </c>
      <c r="B21" s="66">
        <f>(4*2*Hypothèses!B5*330*2.58/1000)/2.58</f>
        <v>0</v>
      </c>
      <c r="C21" s="67">
        <f>B21*2.58</f>
        <v>0</v>
      </c>
      <c r="D21" s="67" t="e">
        <f>C21/Hypothèses!B5</f>
        <v>#DIV/0!</v>
      </c>
    </row>
    <row r="22" spans="1:5" ht="19.5" customHeight="1">
      <c r="A22" s="65" t="s">
        <v>179</v>
      </c>
      <c r="B22" s="68"/>
      <c r="C22" s="69"/>
      <c r="D22" s="69" t="e">
        <f>D17+D18+D20+D21</f>
        <v>#DIV/0!</v>
      </c>
      <c r="E22" s="1">
        <v>65.35349521443388</v>
      </c>
    </row>
  </sheetData>
  <sheetProtection/>
  <mergeCells count="1">
    <mergeCell ref="A15:D15"/>
  </mergeCells>
  <printOptions/>
  <pageMargins left="0.39370083808898926" right="0.39370083808898926" top="0.39370083808898926" bottom="0.39370083808898926" header="0.39370083808898926" footer="0.39370083808898926"/>
  <pageSetup firstPageNumber="1" useFirstPageNumber="1" orientation="portrait" paperSize="9"/>
  <headerFooter alignWithMargins="0">
    <oddFooter>&amp;L&amp;"Helvetica,Italic"&amp;8Bureau d’études BEE 12 bis quai Charles Vallet 90000 Belfort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</dc:creator>
  <cp:keywords/>
  <dc:description/>
  <cp:lastModifiedBy>Launay</cp:lastModifiedBy>
  <dcterms:created xsi:type="dcterms:W3CDTF">2012-02-21T17:14:36Z</dcterms:created>
  <dcterms:modified xsi:type="dcterms:W3CDTF">2015-09-09T18:41:16Z</dcterms:modified>
  <cp:category/>
  <cp:version/>
  <cp:contentType/>
  <cp:contentStatus/>
</cp:coreProperties>
</file>